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2"/>
  </bookViews>
  <sheets>
    <sheet name="UNICE" sheetId="1" r:id="rId1"/>
    <sheet name="PENS" sheetId="2" r:id="rId2"/>
    <sheet name="DIABET" sheetId="3" r:id="rId3"/>
    <sheet name="INS" sheetId="4" r:id="rId4"/>
    <sheet name="MIXT" sheetId="5" r:id="rId5"/>
    <sheet name="TESTE" sheetId="6" r:id="rId6"/>
    <sheet name="COST VOLUM ONCO" sheetId="7" r:id="rId7"/>
    <sheet name="ONCO" sheetId="8" r:id="rId8"/>
    <sheet name="POSTT" sheetId="9" r:id="rId9"/>
    <sheet name="SCLEROZ" sheetId="10" r:id="rId10"/>
    <sheet name="CV UNICE" sheetId="11" r:id="rId11"/>
    <sheet name="MUCOV" sheetId="12" r:id="rId12"/>
  </sheets>
  <definedNames>
    <definedName name="_xlnm.Print_Area" localSheetId="6">'COST VOLUM ONCO'!$A$1:$J$3</definedName>
    <definedName name="_xlnm.Print_Area" localSheetId="10">'CV UNICE'!$A$1:$J$4</definedName>
  </definedNames>
  <calcPr fullCalcOnLoad="1"/>
</workbook>
</file>

<file path=xl/sharedStrings.xml><?xml version="1.0" encoding="utf-8"?>
<sst xmlns="http://schemas.openxmlformats.org/spreadsheetml/2006/main" count="491" uniqueCount="83">
  <si>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</si>
  <si>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</si>
  <si>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</si>
  <si>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</si>
  <si>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</si>
  <si>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</si>
  <si>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</si>
  <si>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</si>
  <si>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</si>
  <si>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KOL-KING</t>
  </si>
  <si>
    <t>MEDICOM</t>
  </si>
  <si>
    <t>SALVIA</t>
  </si>
  <si>
    <t>TRANSFARM</t>
  </si>
  <si>
    <t>AMBROSIA</t>
  </si>
  <si>
    <t>SIEPCOFAR-DONA</t>
  </si>
  <si>
    <t>SALVATOR</t>
  </si>
  <si>
    <t>MARIA</t>
  </si>
  <si>
    <t>HERMANN</t>
  </si>
  <si>
    <t>FARMIRA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</si>
  <si>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</si>
  <si>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</si>
  <si>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</si>
  <si>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</si>
  <si>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</si>
  <si>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</si>
  <si>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</si>
  <si>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</si>
  <si>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</si>
  <si>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</si>
  <si>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</si>
  <si>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</si>
  <si>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</si>
  <si>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</si>
  <si>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</si>
  <si>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</si>
  <si>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</si>
  <si>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</si>
  <si>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</si>
  <si>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</si>
  <si>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</si>
  <si>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</si>
  <si>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</si>
  <si>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ECOFARMACIA NETWORK</t>
  </si>
  <si>
    <t>Total consum unice</t>
  </si>
  <si>
    <t>KINCSOPHARM</t>
  </si>
  <si>
    <t>KAMILLA PLUS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</si>
  <si>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</si>
  <si>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</si>
  <si>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</si>
  <si>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</si>
  <si>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</si>
  <si>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</si>
  <si>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</si>
  <si>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</si>
  <si>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</si>
  <si>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</si>
  <si>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</si>
  <si>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</si>
  <si>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</si>
  <si>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</si>
  <si>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</si>
  <si>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</si>
  <si>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SITUATIA CONSUMULUI DE MEDICAMENTE PENTRU PENSIONARI PANA LA 1139 LEI IANUARIE 2020</t>
  </si>
  <si>
    <t>SITUATIA CONSUMULUI DE MEDICAMENTE PENTRU DIABET   LUNA IANUARIE 2020</t>
  </si>
  <si>
    <t>SITUATIA CONSUMULUI DE MEDICAMENTE PENTRU INSULINE LUNA IANUARIE 2020</t>
  </si>
  <si>
    <t>SITUATIA CONSUMULUI LA TESTE PENTRU LUNA IANUARIE 2020</t>
  </si>
  <si>
    <t>SITUATIA CONSUMULUI DE MEDICAMENTE PENTRU PNS COST VOLUM   LUNA IANUARIE 2020</t>
  </si>
  <si>
    <t>SITUATIA CONSUMULUI DE MEDICAMENTE PENTRU ONCOLOGIE  LUNA IANUARIE 2020</t>
  </si>
  <si>
    <t>SITUATIA CONSUMULUI DE MEDICAMENTE LA STARI POSTTRANSPLANT IANUARIE 2020</t>
  </si>
  <si>
    <t>SITUATIA CONSUMULUI DE MEDICAMENTE PENTRU SCLEROZA   LUNA IANUARIE 2020</t>
  </si>
  <si>
    <t>SITUATIA CONSUMULUI DE MEDIC. PENTRU UNICE COST VOLUM   LUNA IANUARIE 2020</t>
  </si>
  <si>
    <t>SITUATIA CONSUMULUI DE MEDICAMENTE LA STARI MUCOVISCIDOZA IANUARIE 2020</t>
  </si>
  <si>
    <t>SITUATIA CONSUMULUI DE MEDICAMENTE IN LUNA  IANUARIE 2020</t>
  </si>
  <si>
    <t>IANUARIE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</si>
  <si>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</si>
  <si>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</si>
  <si>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</si>
  <si>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</si>
  <si>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</si>
  <si>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</si>
  <si>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</si>
  <si>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>UNICE COST VOLUM</t>
  </si>
  <si>
    <t>SITUATIA CONSUMULUI DE MEDICAMENTE LA  DIABET SI INSULINE IANUARIE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</si>
</sst>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7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3" fillId="0" borderId="1" xfId="0" applyNumberFormat="1" applyFont="1" applyBorder="1" applyAlignment="1">
      <alignment/>
    </xf>
    <xf numFmtId="4" fontId="13" fillId="2" borderId="1" xfId="0" applyNumberFormat="1" applyFont="1" applyFill="1" applyBorder="1" applyAlignment="1">
      <alignment/>
    </xf>
    <xf numFmtId="4" fontId="14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4" fontId="5" fillId="0" borderId="0" xfId="0" applyNumberFormat="1" applyFont="1" applyAlignment="1">
      <alignment/>
    </xf>
    <xf numFmtId="4" fontId="12" fillId="0" borderId="7" xfId="0" applyNumberFormat="1" applyFont="1" applyFill="1" applyBorder="1" applyAlignment="1">
      <alignment/>
    </xf>
    <xf numFmtId="4" fontId="12" fillId="0" borderId="8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13" fillId="0" borderId="9" xfId="0" applyNumberFormat="1" applyFont="1" applyBorder="1" applyAlignment="1">
      <alignment/>
    </xf>
    <xf numFmtId="4" fontId="8" fillId="2" borderId="5" xfId="0" applyNumberFormat="1" applyFont="1" applyFill="1" applyBorder="1" applyAlignment="1">
      <alignment horizontal="left"/>
    </xf>
    <xf numFmtId="4" fontId="13" fillId="0" borderId="10" xfId="0" applyNumberFormat="1" applyFont="1" applyBorder="1" applyAlignment="1">
      <alignment/>
    </xf>
    <xf numFmtId="4" fontId="0" fillId="0" borderId="5" xfId="0" applyNumberFormat="1" applyBorder="1" applyAlignment="1">
      <alignment/>
    </xf>
    <xf numFmtId="4" fontId="4" fillId="0" borderId="4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D270"/>
  <sheetViews>
    <sheetView workbookViewId="0" topLeftCell="A9">
      <selection activeCell="B49" sqref="B49:B51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19.0039062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7" bestFit="1" customWidth="1"/>
    <col min="9" max="9" width="12.140625" style="0" customWidth="1"/>
    <col min="10" max="10" width="14.140625" style="0" bestFit="1" customWidth="1"/>
    <col min="11" max="11" width="14.28125" style="0" bestFit="1" customWidth="1"/>
    <col min="12" max="12" width="15.57421875" style="0" bestFit="1" customWidth="1"/>
    <col min="13" max="13" width="16.8515625" style="0" customWidth="1"/>
    <col min="14" max="14" width="15.57421875" style="0" customWidth="1"/>
    <col min="15" max="15" width="15.57421875" style="0" bestFit="1" customWidth="1"/>
    <col min="16" max="16" width="17.28125" style="0" bestFit="1" customWidth="1"/>
    <col min="17" max="17" width="16.00390625" style="0" bestFit="1" customWidth="1"/>
    <col min="18" max="18" width="18.421875" style="0" bestFit="1" customWidth="1"/>
    <col min="19" max="19" width="18.421875" style="12" bestFit="1" customWidth="1"/>
    <col min="20" max="20" width="9.140625" style="4" customWidth="1"/>
    <col min="21" max="21" width="11.7109375" style="4" bestFit="1" customWidth="1"/>
    <col min="22" max="56" width="9.140625" style="4" customWidth="1"/>
  </cols>
  <sheetData>
    <row r="3" spans="2:19" ht="15.75">
      <c r="B3" s="19" t="s">
        <v>72</v>
      </c>
      <c r="C3" s="20"/>
      <c r="D3" s="20"/>
      <c r="E3" s="20"/>
      <c r="F3" s="21"/>
      <c r="G3" s="21"/>
      <c r="H3" s="22"/>
      <c r="I3" s="20"/>
      <c r="J3" s="20"/>
      <c r="K3" s="20"/>
      <c r="L3" s="20"/>
      <c r="M3" s="20"/>
      <c r="N3" s="20"/>
      <c r="O3" s="20"/>
      <c r="P3" s="20"/>
      <c r="Q3" s="20"/>
      <c r="R3" s="23"/>
      <c r="S3" s="24"/>
    </row>
    <row r="4" spans="1:19" ht="31.5">
      <c r="A4" s="50" t="s">
        <v>0</v>
      </c>
      <c r="B4" s="51" t="s">
        <v>1</v>
      </c>
      <c r="C4" s="52" t="s">
        <v>2</v>
      </c>
      <c r="D4" s="52" t="s">
        <v>3</v>
      </c>
      <c r="E4" s="52" t="s">
        <v>4</v>
      </c>
      <c r="F4" s="52" t="s">
        <v>5</v>
      </c>
      <c r="G4" s="52" t="s">
        <v>46</v>
      </c>
      <c r="H4" s="53" t="s">
        <v>48</v>
      </c>
      <c r="I4" s="52" t="s">
        <v>49</v>
      </c>
      <c r="J4" s="52" t="s">
        <v>53</v>
      </c>
      <c r="K4" s="52" t="s">
        <v>50</v>
      </c>
      <c r="L4" s="52" t="s">
        <v>51</v>
      </c>
      <c r="M4" s="52" t="s">
        <v>56</v>
      </c>
      <c r="N4" s="52" t="s">
        <v>54</v>
      </c>
      <c r="O4" s="52" t="s">
        <v>52</v>
      </c>
      <c r="P4" s="52" t="s">
        <v>55</v>
      </c>
      <c r="Q4" s="52" t="s">
        <v>58</v>
      </c>
      <c r="R4" s="54" t="s">
        <v>43</v>
      </c>
      <c r="S4" s="53" t="s">
        <v>57</v>
      </c>
    </row>
    <row r="5" spans="1:21" ht="15.75">
      <c r="A5" s="55">
        <v>1</v>
      </c>
      <c r="B5" s="56" t="s">
        <v>6</v>
      </c>
      <c r="C5" s="25">
        <f>33572.78+7497.18+4236.17+531.48</f>
        <v>45837.61</v>
      </c>
      <c r="D5" s="25">
        <f>44032.82+6254.31+3892.83+380.99</f>
        <v>54560.95</v>
      </c>
      <c r="E5" s="25">
        <f>45895.52+3332.83+4892.08+244.04</f>
        <v>54364.47</v>
      </c>
      <c r="F5" s="25">
        <f>1731.25+408.81+588.76</f>
        <v>2728.8199999999997</v>
      </c>
      <c r="G5" s="25">
        <f>5072.53+401.03+528.09+41.97</f>
        <v>6043.62</v>
      </c>
      <c r="H5" s="26">
        <v>742.71</v>
      </c>
      <c r="I5" s="25"/>
      <c r="J5" s="25"/>
      <c r="K5" s="25">
        <v>4018.47</v>
      </c>
      <c r="L5" s="25">
        <v>21653.23</v>
      </c>
      <c r="M5" s="25"/>
      <c r="N5" s="25">
        <v>5978.85</v>
      </c>
      <c r="O5" s="25"/>
      <c r="P5" s="25">
        <v>10103.69</v>
      </c>
      <c r="Q5" s="57">
        <f>H5+I5+J5+K5+L5+M5+N5+O5+P5</f>
        <v>42496.950000000004</v>
      </c>
      <c r="R5" s="58">
        <f aca="true" t="shared" si="0" ref="R5:R39">C5+D5+E5+F5+G5+H5+I5+J5+K5+L5+M5+N5+O5+P5</f>
        <v>206032.42</v>
      </c>
      <c r="S5" s="59">
        <f>R5-Q5</f>
        <v>163535.47</v>
      </c>
      <c r="U5" s="62"/>
    </row>
    <row r="6" spans="1:21" ht="15.75">
      <c r="A6" s="55">
        <v>2</v>
      </c>
      <c r="B6" s="56" t="s">
        <v>7</v>
      </c>
      <c r="C6" s="25">
        <f>10140.76+8994.28</f>
        <v>19135.04</v>
      </c>
      <c r="D6" s="25">
        <f>13281.06+8914.56</f>
        <v>22195.62</v>
      </c>
      <c r="E6" s="25">
        <f>3372.38+5203.9</f>
        <v>8576.279999999999</v>
      </c>
      <c r="F6" s="25">
        <f>595.07+199.72</f>
        <v>794.7900000000001</v>
      </c>
      <c r="G6" s="25">
        <f>1344.56+902.39</f>
        <v>2246.95</v>
      </c>
      <c r="H6" s="26">
        <v>2976.16</v>
      </c>
      <c r="I6" s="25"/>
      <c r="J6" s="25"/>
      <c r="K6" s="25"/>
      <c r="L6" s="25">
        <v>2678.98</v>
      </c>
      <c r="M6" s="25"/>
      <c r="N6" s="25">
        <v>3299.87</v>
      </c>
      <c r="O6" s="25"/>
      <c r="P6" s="25"/>
      <c r="Q6" s="57">
        <f aca="true" t="shared" si="1" ref="Q6:Q39">H6+I6+J6+K6+L6+M6+N6+O6+P6</f>
        <v>8955.009999999998</v>
      </c>
      <c r="R6" s="58">
        <f t="shared" si="0"/>
        <v>61903.69</v>
      </c>
      <c r="S6" s="59">
        <f aca="true" t="shared" si="2" ref="S6:S39">R6-Q6</f>
        <v>52948.68000000001</v>
      </c>
      <c r="U6" s="62"/>
    </row>
    <row r="7" spans="1:21" ht="15.75">
      <c r="A7" s="55">
        <v>3</v>
      </c>
      <c r="B7" s="56" t="s">
        <v>8</v>
      </c>
      <c r="C7" s="25">
        <f>6754.29+6222.2+4751.15+9049.64+2683.48</f>
        <v>29460.76</v>
      </c>
      <c r="D7" s="25">
        <f>7057.35+4388.29+5708.48+9445.62+1657.69</f>
        <v>28257.429999999997</v>
      </c>
      <c r="E7" s="25">
        <f>4370.22+3715.43+2506.81+7075.48+135.26</f>
        <v>17803.199999999997</v>
      </c>
      <c r="F7" s="25">
        <f>1448.11+1516.88+832.44+2256.75+2291.24</f>
        <v>8345.42</v>
      </c>
      <c r="G7" s="25">
        <f>1295.07+429.29+530.41+1262.31+157.62</f>
        <v>3674.7</v>
      </c>
      <c r="H7" s="26"/>
      <c r="I7" s="25"/>
      <c r="J7" s="25"/>
      <c r="K7" s="25"/>
      <c r="L7" s="25"/>
      <c r="M7" s="25"/>
      <c r="N7" s="25"/>
      <c r="O7" s="25"/>
      <c r="P7" s="25"/>
      <c r="Q7" s="57">
        <f t="shared" si="1"/>
        <v>0</v>
      </c>
      <c r="R7" s="58">
        <f t="shared" si="0"/>
        <v>87541.50999999998</v>
      </c>
      <c r="S7" s="59">
        <f t="shared" si="2"/>
        <v>87541.50999999998</v>
      </c>
      <c r="U7" s="62"/>
    </row>
    <row r="8" spans="1:21" ht="15.75">
      <c r="A8" s="55">
        <v>4</v>
      </c>
      <c r="B8" s="56" t="s">
        <v>9</v>
      </c>
      <c r="C8" s="25">
        <f>5801.82+7926.81+5210.43</f>
        <v>18939.06</v>
      </c>
      <c r="D8" s="25">
        <f>5236.6+7835.72+4825.21</f>
        <v>17897.53</v>
      </c>
      <c r="E8" s="25">
        <f>3437.14+3583.32+1875.12</f>
        <v>8895.58</v>
      </c>
      <c r="F8" s="25">
        <f>1621.33+444.6+369.47</f>
        <v>2435.3999999999996</v>
      </c>
      <c r="G8" s="25">
        <f>1517.95+878.8+574.66</f>
        <v>2971.41</v>
      </c>
      <c r="H8" s="26"/>
      <c r="I8" s="25"/>
      <c r="J8" s="25"/>
      <c r="K8" s="25"/>
      <c r="L8" s="25"/>
      <c r="M8" s="25"/>
      <c r="N8" s="25"/>
      <c r="O8" s="25"/>
      <c r="P8" s="25"/>
      <c r="Q8" s="57">
        <f t="shared" si="1"/>
        <v>0</v>
      </c>
      <c r="R8" s="58">
        <f t="shared" si="0"/>
        <v>51138.979999999996</v>
      </c>
      <c r="S8" s="59">
        <f t="shared" si="2"/>
        <v>51138.979999999996</v>
      </c>
      <c r="U8" s="62"/>
    </row>
    <row r="9" spans="1:21" ht="15.75">
      <c r="A9" s="55">
        <v>5</v>
      </c>
      <c r="B9" s="56" t="s">
        <v>10</v>
      </c>
      <c r="C9" s="25">
        <v>19212.51</v>
      </c>
      <c r="D9" s="25">
        <v>28695.61</v>
      </c>
      <c r="E9" s="25">
        <v>29056.35</v>
      </c>
      <c r="F9" s="26">
        <v>790.13</v>
      </c>
      <c r="G9" s="25">
        <v>3475.09</v>
      </c>
      <c r="H9" s="26">
        <v>247.57</v>
      </c>
      <c r="J9" s="25"/>
      <c r="K9" s="25"/>
      <c r="L9" s="25"/>
      <c r="M9" s="25"/>
      <c r="N9" s="25"/>
      <c r="O9" s="25"/>
      <c r="P9" s="25"/>
      <c r="Q9" s="57">
        <f t="shared" si="1"/>
        <v>247.57</v>
      </c>
      <c r="R9" s="58">
        <f t="shared" si="0"/>
        <v>81477.26000000001</v>
      </c>
      <c r="S9" s="59">
        <f t="shared" si="2"/>
        <v>81229.69</v>
      </c>
      <c r="U9" s="62"/>
    </row>
    <row r="10" spans="1:23" ht="15.75">
      <c r="A10" s="55">
        <v>6</v>
      </c>
      <c r="B10" s="56" t="s">
        <v>11</v>
      </c>
      <c r="C10" s="25">
        <f>15840.74+13735.65+5041.63+8491.75+19057.82</f>
        <v>62167.59</v>
      </c>
      <c r="D10" s="25">
        <f>17323.44+15734.42+5935.19+5313.88+17104.96</f>
        <v>61411.89</v>
      </c>
      <c r="E10" s="25">
        <f>16833.79+8827.65+6596.23+3760.38+66440.75</f>
        <v>102458.8</v>
      </c>
      <c r="F10" s="25">
        <f>739.83+2738.56+589.95+2038.06+1474.33</f>
        <v>7580.73</v>
      </c>
      <c r="G10" s="25">
        <f>1724.97+1715.99+701.66+581.84+1858.56</f>
        <v>6583.02</v>
      </c>
      <c r="H10" s="26">
        <f>241.72+1931.84</f>
        <v>2173.56</v>
      </c>
      <c r="I10" s="25"/>
      <c r="J10" s="25"/>
      <c r="K10" s="25">
        <v>2678.98</v>
      </c>
      <c r="L10" s="25">
        <f>3260.32+10511.84+2678.98</f>
        <v>16451.14</v>
      </c>
      <c r="M10" s="25"/>
      <c r="N10" s="25">
        <v>6538.43</v>
      </c>
      <c r="O10" s="25"/>
      <c r="P10" s="25"/>
      <c r="Q10" s="57">
        <f t="shared" si="1"/>
        <v>27842.11</v>
      </c>
      <c r="R10" s="58">
        <f t="shared" si="0"/>
        <v>268044.14</v>
      </c>
      <c r="S10" s="59">
        <f t="shared" si="2"/>
        <v>240202.03000000003</v>
      </c>
      <c r="U10" s="62"/>
      <c r="W10" s="66"/>
    </row>
    <row r="11" spans="1:21" ht="15.75">
      <c r="A11" s="55">
        <v>7</v>
      </c>
      <c r="B11" s="56" t="s">
        <v>59</v>
      </c>
      <c r="C11" s="25">
        <f>14353.54+16909.23+6203.58+7733.3+8443.01+2460.21+5093.74</f>
        <v>61196.61</v>
      </c>
      <c r="D11" s="25">
        <f>23277.86+17974.53+8537.43+9684.27+9387.67+1932.14+4516.87</f>
        <v>75310.76999999999</v>
      </c>
      <c r="E11" s="25">
        <f>12666.8+14784.42+2748.16+6541.96+6432.15+1281.92+1727.6</f>
        <v>46183.01</v>
      </c>
      <c r="F11" s="25">
        <f>969.25+1188.58+659.22+719.2+968.22+16.25+1268.45</f>
        <v>5789.17</v>
      </c>
      <c r="G11" s="25">
        <f>2692.93+1420.8+980.45+1170.73+1010.7+459.45+184.16</f>
        <v>7919.219999999999</v>
      </c>
      <c r="H11" s="26">
        <v>742.71</v>
      </c>
      <c r="I11" s="25"/>
      <c r="J11" s="25"/>
      <c r="K11" s="25">
        <f>5357.96+2678.98</f>
        <v>8036.9400000000005</v>
      </c>
      <c r="L11" s="25"/>
      <c r="M11" s="25"/>
      <c r="N11" s="25">
        <v>2678.98</v>
      </c>
      <c r="O11" s="25"/>
      <c r="P11" s="25"/>
      <c r="Q11" s="57">
        <f t="shared" si="1"/>
        <v>11458.630000000001</v>
      </c>
      <c r="R11" s="58">
        <f t="shared" si="0"/>
        <v>207857.41000000003</v>
      </c>
      <c r="S11" s="59">
        <f t="shared" si="2"/>
        <v>196398.78000000003</v>
      </c>
      <c r="U11" s="62"/>
    </row>
    <row r="12" spans="1:21" ht="15.75">
      <c r="A12" s="55">
        <v>8</v>
      </c>
      <c r="B12" s="56" t="s">
        <v>12</v>
      </c>
      <c r="C12" s="25">
        <v>16119.62</v>
      </c>
      <c r="D12" s="25">
        <v>40756.01</v>
      </c>
      <c r="E12" s="25">
        <v>46432.51</v>
      </c>
      <c r="F12" s="25">
        <v>828.18</v>
      </c>
      <c r="G12" s="25">
        <v>1691.26</v>
      </c>
      <c r="H12" s="26">
        <v>2378.26</v>
      </c>
      <c r="I12" s="25">
        <v>247.57</v>
      </c>
      <c r="J12" s="25">
        <v>3667.2</v>
      </c>
      <c r="K12" s="25"/>
      <c r="L12" s="25">
        <v>4890.48</v>
      </c>
      <c r="M12" s="25"/>
      <c r="N12" s="25">
        <v>6560.19</v>
      </c>
      <c r="O12" s="25"/>
      <c r="P12" s="25"/>
      <c r="Q12" s="57">
        <f t="shared" si="1"/>
        <v>17743.7</v>
      </c>
      <c r="R12" s="58">
        <f t="shared" si="0"/>
        <v>123571.28</v>
      </c>
      <c r="S12" s="59">
        <f t="shared" si="2"/>
        <v>105827.58</v>
      </c>
      <c r="U12" s="62"/>
    </row>
    <row r="13" spans="1:21" ht="15.75">
      <c r="A13" s="55">
        <v>9</v>
      </c>
      <c r="B13" s="56" t="s">
        <v>13</v>
      </c>
      <c r="C13" s="25">
        <f>10999.24+1437.16+10451.94</f>
        <v>22888.34</v>
      </c>
      <c r="D13" s="27">
        <f>15592.53+1307.28+14803.12</f>
        <v>31702.93</v>
      </c>
      <c r="E13" s="25">
        <f>16248.54+514.83+5993.5</f>
        <v>22756.870000000003</v>
      </c>
      <c r="F13" s="25">
        <f>603.54+69.86+1003.73</f>
        <v>1677.13</v>
      </c>
      <c r="G13" s="25">
        <f>1863.31+147.67+1395.84</f>
        <v>3406.8199999999997</v>
      </c>
      <c r="H13" s="26">
        <v>247.57</v>
      </c>
      <c r="I13" s="25"/>
      <c r="J13" s="25"/>
      <c r="K13" s="25"/>
      <c r="L13" s="25"/>
      <c r="M13" s="25"/>
      <c r="N13" s="25"/>
      <c r="O13" s="25"/>
      <c r="P13" s="25"/>
      <c r="Q13" s="57">
        <f t="shared" si="1"/>
        <v>247.57</v>
      </c>
      <c r="R13" s="58">
        <f t="shared" si="0"/>
        <v>82679.66000000003</v>
      </c>
      <c r="S13" s="59">
        <f t="shared" si="2"/>
        <v>82432.09000000003</v>
      </c>
      <c r="U13" s="62"/>
    </row>
    <row r="14" spans="1:21" ht="15.75">
      <c r="A14" s="55">
        <v>10</v>
      </c>
      <c r="B14" s="56" t="s">
        <v>14</v>
      </c>
      <c r="C14" s="25">
        <f>18415.48+20387.62+23708.15</f>
        <v>62511.25</v>
      </c>
      <c r="D14" s="25">
        <f>24065.1+21146.13+36069.85</f>
        <v>81281.07999999999</v>
      </c>
      <c r="E14" s="25">
        <f>7251.29+11982.7+18352.68</f>
        <v>37586.67</v>
      </c>
      <c r="F14" s="25">
        <f>1762.49+1425.91+1888.82</f>
        <v>5077.22</v>
      </c>
      <c r="G14" s="25">
        <f>2648.73+3193.64+3403.21</f>
        <v>9245.58</v>
      </c>
      <c r="H14" s="26">
        <f>247.57+247.57+247.57</f>
        <v>742.71</v>
      </c>
      <c r="I14" s="25"/>
      <c r="J14" s="25"/>
      <c r="K14" s="25"/>
      <c r="L14" s="25">
        <f>15257.57</f>
        <v>15257.57</v>
      </c>
      <c r="M14" s="25">
        <v>2678.98</v>
      </c>
      <c r="N14" s="25">
        <f>5978.85+17875.24</f>
        <v>23854.090000000004</v>
      </c>
      <c r="O14" s="25">
        <v>1815.63</v>
      </c>
      <c r="P14" s="25"/>
      <c r="Q14" s="57">
        <f t="shared" si="1"/>
        <v>44348.98</v>
      </c>
      <c r="R14" s="58">
        <f t="shared" si="0"/>
        <v>240050.78</v>
      </c>
      <c r="S14" s="59">
        <f t="shared" si="2"/>
        <v>195701.8</v>
      </c>
      <c r="U14" s="62"/>
    </row>
    <row r="15" spans="1:21" ht="15.75">
      <c r="A15" s="55">
        <v>11</v>
      </c>
      <c r="B15" s="56" t="s">
        <v>15</v>
      </c>
      <c r="C15" s="25">
        <v>32644.41</v>
      </c>
      <c r="D15" s="25">
        <v>39241.42</v>
      </c>
      <c r="E15" s="25">
        <v>22743.86</v>
      </c>
      <c r="F15" s="25">
        <v>3593.7</v>
      </c>
      <c r="G15" s="25">
        <v>4615.15</v>
      </c>
      <c r="H15" s="26"/>
      <c r="I15" s="25"/>
      <c r="J15" s="25"/>
      <c r="K15" s="25"/>
      <c r="L15" s="25"/>
      <c r="M15" s="25"/>
      <c r="N15" s="25"/>
      <c r="O15" s="25"/>
      <c r="P15" s="25"/>
      <c r="Q15" s="57">
        <f t="shared" si="1"/>
        <v>0</v>
      </c>
      <c r="R15" s="58">
        <f t="shared" si="0"/>
        <v>102838.54</v>
      </c>
      <c r="S15" s="59">
        <f t="shared" si="2"/>
        <v>102838.54</v>
      </c>
      <c r="U15" s="62"/>
    </row>
    <row r="16" spans="1:22" ht="15.75">
      <c r="A16" s="55">
        <v>12</v>
      </c>
      <c r="B16" s="56" t="s">
        <v>16</v>
      </c>
      <c r="C16" s="25">
        <v>21289.97</v>
      </c>
      <c r="D16" s="25">
        <v>14804.5</v>
      </c>
      <c r="E16" s="25">
        <v>5743.46</v>
      </c>
      <c r="F16" s="25">
        <v>2344.34</v>
      </c>
      <c r="G16" s="25">
        <v>1733.78</v>
      </c>
      <c r="H16" s="26"/>
      <c r="I16" s="25"/>
      <c r="J16" s="25"/>
      <c r="K16" s="25"/>
      <c r="L16" s="25"/>
      <c r="M16" s="25"/>
      <c r="N16" s="25"/>
      <c r="O16" s="25"/>
      <c r="P16" s="25"/>
      <c r="Q16" s="57">
        <f t="shared" si="1"/>
        <v>0</v>
      </c>
      <c r="R16" s="58">
        <f t="shared" si="0"/>
        <v>45916.05</v>
      </c>
      <c r="S16" s="59">
        <f t="shared" si="2"/>
        <v>45916.05</v>
      </c>
      <c r="T16" s="11"/>
      <c r="U16" s="62"/>
      <c r="V16" s="11"/>
    </row>
    <row r="17" spans="1:21" ht="15.75">
      <c r="A17" s="55">
        <v>13</v>
      </c>
      <c r="B17" s="56" t="s">
        <v>17</v>
      </c>
      <c r="C17" s="25">
        <f>40206.78+14951.98</f>
        <v>55158.759999999995</v>
      </c>
      <c r="D17" s="25">
        <f>28657.59+11295.26</f>
        <v>39952.85</v>
      </c>
      <c r="E17" s="25">
        <f>17747.86+8440.34</f>
        <v>26188.2</v>
      </c>
      <c r="F17" s="25">
        <f>10255.22+2296.15</f>
        <v>12551.369999999999</v>
      </c>
      <c r="G17" s="25">
        <f>3528.92+758.66</f>
        <v>4287.58</v>
      </c>
      <c r="H17" s="26"/>
      <c r="I17" s="25"/>
      <c r="J17" s="25"/>
      <c r="K17" s="25"/>
      <c r="L17" s="25"/>
      <c r="M17" s="25"/>
      <c r="N17" s="25"/>
      <c r="O17" s="25"/>
      <c r="P17" s="25"/>
      <c r="Q17" s="57">
        <f t="shared" si="1"/>
        <v>0</v>
      </c>
      <c r="R17" s="58">
        <f t="shared" si="0"/>
        <v>138138.75999999998</v>
      </c>
      <c r="S17" s="59">
        <f t="shared" si="2"/>
        <v>138138.75999999998</v>
      </c>
      <c r="U17" s="62"/>
    </row>
    <row r="18" spans="1:21" ht="15.75">
      <c r="A18" s="55">
        <v>14</v>
      </c>
      <c r="B18" s="56" t="s">
        <v>18</v>
      </c>
      <c r="C18" s="25">
        <f>10231.4+4205.61</f>
        <v>14437.009999999998</v>
      </c>
      <c r="D18" s="25">
        <f>13300.86+3861.49</f>
        <v>17162.35</v>
      </c>
      <c r="E18" s="25">
        <f>3478.67+2393.42</f>
        <v>5872.09</v>
      </c>
      <c r="F18" s="25">
        <f>1474.1+441.63</f>
        <v>1915.73</v>
      </c>
      <c r="G18" s="25">
        <f>1840.96+610.96</f>
        <v>2451.92</v>
      </c>
      <c r="H18" s="28"/>
      <c r="I18" s="25"/>
      <c r="J18" s="25"/>
      <c r="K18" s="25"/>
      <c r="L18" s="25"/>
      <c r="M18" s="25"/>
      <c r="N18" s="25"/>
      <c r="O18" s="25"/>
      <c r="P18" s="25"/>
      <c r="Q18" s="57">
        <f t="shared" si="1"/>
        <v>0</v>
      </c>
      <c r="R18" s="58">
        <f t="shared" si="0"/>
        <v>41839.1</v>
      </c>
      <c r="S18" s="59">
        <f t="shared" si="2"/>
        <v>41839.1</v>
      </c>
      <c r="U18" s="62"/>
    </row>
    <row r="19" spans="1:21" ht="15.75">
      <c r="A19" s="55">
        <v>15</v>
      </c>
      <c r="B19" s="56" t="s">
        <v>19</v>
      </c>
      <c r="C19" s="25">
        <v>2210.49</v>
      </c>
      <c r="D19" s="25">
        <v>1871.08</v>
      </c>
      <c r="E19" s="25">
        <v>1284.84</v>
      </c>
      <c r="F19" s="65">
        <v>68.24</v>
      </c>
      <c r="G19" s="64">
        <v>285.38</v>
      </c>
      <c r="H19" s="26"/>
      <c r="I19" s="25"/>
      <c r="J19" s="25"/>
      <c r="K19" s="25"/>
      <c r="L19" s="25"/>
      <c r="M19" s="25"/>
      <c r="N19" s="25"/>
      <c r="O19" s="25"/>
      <c r="P19" s="25"/>
      <c r="Q19" s="57">
        <f t="shared" si="1"/>
        <v>0</v>
      </c>
      <c r="R19" s="58">
        <f t="shared" si="0"/>
        <v>5720.03</v>
      </c>
      <c r="S19" s="59">
        <f t="shared" si="2"/>
        <v>5720.03</v>
      </c>
      <c r="U19" s="62"/>
    </row>
    <row r="20" spans="1:21" ht="15.75">
      <c r="A20" s="55">
        <v>16</v>
      </c>
      <c r="B20" s="56" t="s">
        <v>20</v>
      </c>
      <c r="C20" s="25">
        <f>3389.2+3361.51+2013+3238.91</f>
        <v>12002.619999999999</v>
      </c>
      <c r="D20" s="25">
        <f>5013.63+4859.91+1261.13+4840.88</f>
        <v>15975.550000000003</v>
      </c>
      <c r="E20" s="25">
        <f>1662.04+616.17+959.25+3428.33</f>
        <v>6665.79</v>
      </c>
      <c r="F20" s="25">
        <f>382.81+582.89+339.99+518.55</f>
        <v>1824.24</v>
      </c>
      <c r="G20" s="25">
        <f>1365.26+363.14+310.23+659.35</f>
        <v>2697.98</v>
      </c>
      <c r="H20" s="26"/>
      <c r="I20" s="25"/>
      <c r="J20" s="25"/>
      <c r="K20" s="25"/>
      <c r="L20" s="25"/>
      <c r="M20" s="25"/>
      <c r="N20" s="25"/>
      <c r="O20" s="25"/>
      <c r="P20" s="25"/>
      <c r="Q20" s="57">
        <f t="shared" si="1"/>
        <v>0</v>
      </c>
      <c r="R20" s="58">
        <f t="shared" si="0"/>
        <v>39166.18</v>
      </c>
      <c r="S20" s="59">
        <f t="shared" si="2"/>
        <v>39166.18</v>
      </c>
      <c r="U20" s="62"/>
    </row>
    <row r="21" spans="1:21" ht="15.75">
      <c r="A21" s="55">
        <v>17</v>
      </c>
      <c r="B21" s="56" t="s">
        <v>21</v>
      </c>
      <c r="C21" s="25">
        <v>18110.18</v>
      </c>
      <c r="D21" s="25">
        <v>16022.24</v>
      </c>
      <c r="E21" s="25">
        <v>9472.58</v>
      </c>
      <c r="F21" s="25">
        <v>712.13</v>
      </c>
      <c r="G21" s="25">
        <v>3264.33</v>
      </c>
      <c r="H21" s="26">
        <v>1131.74</v>
      </c>
      <c r="I21" s="25"/>
      <c r="J21" s="25"/>
      <c r="K21" s="25"/>
      <c r="L21" s="25"/>
      <c r="M21" s="25"/>
      <c r="N21" s="25"/>
      <c r="O21" s="25"/>
      <c r="P21" s="25"/>
      <c r="Q21" s="57">
        <f t="shared" si="1"/>
        <v>1131.74</v>
      </c>
      <c r="R21" s="58">
        <f t="shared" si="0"/>
        <v>48713.2</v>
      </c>
      <c r="S21" s="59">
        <f t="shared" si="2"/>
        <v>47581.46</v>
      </c>
      <c r="U21" s="62"/>
    </row>
    <row r="22" spans="1:21" ht="15.75">
      <c r="A22" s="55">
        <v>18</v>
      </c>
      <c r="B22" s="56" t="s">
        <v>22</v>
      </c>
      <c r="C22" s="25">
        <f>20546.59+5577.76+22936.1+2978.9+6441.54+3104.53</f>
        <v>61585.42</v>
      </c>
      <c r="D22" s="25">
        <f>24097.27+4581.17+19507.54+4015.61+3535.2+5971.59</f>
        <v>61708.380000000005</v>
      </c>
      <c r="E22" s="25">
        <f>24378.1+5336.04+17340.36+358.68+622.81+1333.34</f>
        <v>49369.329999999994</v>
      </c>
      <c r="F22" s="25">
        <f>1617.33+1600.24+974.7+374.53+6116.24+471.65</f>
        <v>11154.689999999999</v>
      </c>
      <c r="G22" s="25">
        <f>3741.22+345.02+3277.72+409.05+80+376.86</f>
        <v>8229.869999999999</v>
      </c>
      <c r="H22" s="26">
        <v>1485.42</v>
      </c>
      <c r="I22" s="25"/>
      <c r="J22" s="25"/>
      <c r="K22" s="25"/>
      <c r="L22" s="25">
        <v>2678.98</v>
      </c>
      <c r="M22" s="25"/>
      <c r="N22" s="25">
        <v>3859.45</v>
      </c>
      <c r="O22" s="25"/>
      <c r="P22" s="25"/>
      <c r="Q22" s="57">
        <f t="shared" si="1"/>
        <v>8023.849999999999</v>
      </c>
      <c r="R22" s="58">
        <f t="shared" si="0"/>
        <v>200071.54000000004</v>
      </c>
      <c r="S22" s="59">
        <f t="shared" si="2"/>
        <v>192047.69000000003</v>
      </c>
      <c r="U22" s="62"/>
    </row>
    <row r="23" spans="1:21" ht="15.75">
      <c r="A23" s="55">
        <v>19</v>
      </c>
      <c r="B23" s="56" t="s">
        <v>23</v>
      </c>
      <c r="C23" s="25">
        <v>7722.86</v>
      </c>
      <c r="D23" s="25">
        <v>5089.08</v>
      </c>
      <c r="E23" s="25">
        <v>6110.56</v>
      </c>
      <c r="F23" s="25">
        <v>684.56</v>
      </c>
      <c r="G23" s="25">
        <v>976.8</v>
      </c>
      <c r="H23" s="26"/>
      <c r="I23" s="25"/>
      <c r="J23" s="25"/>
      <c r="K23" s="25"/>
      <c r="L23" s="25"/>
      <c r="M23" s="25"/>
      <c r="N23" s="25"/>
      <c r="O23" s="25"/>
      <c r="P23" s="25"/>
      <c r="Q23" s="57">
        <f t="shared" si="1"/>
        <v>0</v>
      </c>
      <c r="R23" s="58">
        <f t="shared" si="0"/>
        <v>20583.86</v>
      </c>
      <c r="S23" s="59">
        <f t="shared" si="2"/>
        <v>20583.86</v>
      </c>
      <c r="U23" s="62"/>
    </row>
    <row r="24" spans="1:21" ht="15.75">
      <c r="A24" s="55">
        <v>20</v>
      </c>
      <c r="B24" s="56" t="s">
        <v>24</v>
      </c>
      <c r="C24" s="25">
        <f>5240.02+2711.16</f>
        <v>7951.18</v>
      </c>
      <c r="D24" s="25">
        <f>4096.92+3046.78</f>
        <v>7143.700000000001</v>
      </c>
      <c r="E24" s="25">
        <f>4992.91+654.55</f>
        <v>5647.46</v>
      </c>
      <c r="F24" s="25">
        <f>1346.3+753.63</f>
        <v>2099.93</v>
      </c>
      <c r="G24" s="25">
        <f>164.83+508.88</f>
        <v>673.71</v>
      </c>
      <c r="H24" s="26"/>
      <c r="I24" s="25"/>
      <c r="J24" s="25"/>
      <c r="K24" s="25"/>
      <c r="L24" s="25"/>
      <c r="M24" s="25"/>
      <c r="N24" s="25"/>
      <c r="O24" s="25"/>
      <c r="P24" s="25"/>
      <c r="Q24" s="57">
        <f t="shared" si="1"/>
        <v>0</v>
      </c>
      <c r="R24" s="58">
        <f t="shared" si="0"/>
        <v>23515.98</v>
      </c>
      <c r="S24" s="59">
        <f t="shared" si="2"/>
        <v>23515.98</v>
      </c>
      <c r="U24" s="62"/>
    </row>
    <row r="25" spans="1:21" ht="15.75">
      <c r="A25" s="55">
        <v>21</v>
      </c>
      <c r="B25" s="56" t="s">
        <v>25</v>
      </c>
      <c r="C25" s="25">
        <f>12124.06+10284.41+11680.4+7209.06</f>
        <v>41297.93</v>
      </c>
      <c r="D25" s="25">
        <f>12797.85+16273.26+17005.21+10564.06</f>
        <v>56640.38</v>
      </c>
      <c r="E25" s="25">
        <f>9954.19+11270.29+24140.03+2850.8</f>
        <v>48215.310000000005</v>
      </c>
      <c r="F25" s="25">
        <f>1496.17+792.56+765.09+1137.34</f>
        <v>4191.16</v>
      </c>
      <c r="G25" s="25">
        <f>1851.82+1580.5+919.74+1063.89</f>
        <v>5415.95</v>
      </c>
      <c r="H25" s="25">
        <f>742.68+446.41</f>
        <v>1189.09</v>
      </c>
      <c r="I25" s="25"/>
      <c r="J25" s="25">
        <f>3738.06+8905.16</f>
        <v>12643.22</v>
      </c>
      <c r="K25" s="25">
        <v>5357.94</v>
      </c>
      <c r="L25" s="25">
        <f>60988.79+4223.6</f>
        <v>65212.39</v>
      </c>
      <c r="M25" s="25">
        <v>2678.97</v>
      </c>
      <c r="N25" s="25">
        <v>16073.82</v>
      </c>
      <c r="O25" s="25"/>
      <c r="P25" s="25">
        <v>30808.16</v>
      </c>
      <c r="Q25" s="57">
        <f t="shared" si="1"/>
        <v>133963.59</v>
      </c>
      <c r="R25" s="58">
        <f t="shared" si="0"/>
        <v>289724.32</v>
      </c>
      <c r="S25" s="59">
        <f t="shared" si="2"/>
        <v>155760.73</v>
      </c>
      <c r="U25" s="62"/>
    </row>
    <row r="26" spans="1:21" ht="15.75">
      <c r="A26" s="55">
        <v>22</v>
      </c>
      <c r="B26" s="56" t="s">
        <v>26</v>
      </c>
      <c r="C26" s="25">
        <v>2938.38</v>
      </c>
      <c r="D26" s="25">
        <v>4655.86</v>
      </c>
      <c r="E26" s="25">
        <v>1330.27</v>
      </c>
      <c r="F26" s="25">
        <v>98.09</v>
      </c>
      <c r="G26" s="25">
        <v>383.87</v>
      </c>
      <c r="H26" s="26"/>
      <c r="I26" s="25"/>
      <c r="J26" s="25"/>
      <c r="K26" s="25"/>
      <c r="L26" s="25"/>
      <c r="M26" s="25"/>
      <c r="N26" s="25"/>
      <c r="O26" s="25"/>
      <c r="P26" s="25"/>
      <c r="Q26" s="57">
        <f t="shared" si="1"/>
        <v>0</v>
      </c>
      <c r="R26" s="58">
        <f t="shared" si="0"/>
        <v>9406.470000000001</v>
      </c>
      <c r="S26" s="59">
        <f t="shared" si="2"/>
        <v>9406.470000000001</v>
      </c>
      <c r="U26" s="62"/>
    </row>
    <row r="27" spans="1:21" ht="15.75">
      <c r="A27" s="55">
        <v>23</v>
      </c>
      <c r="B27" s="56" t="s">
        <v>27</v>
      </c>
      <c r="C27" s="25">
        <f>12941.8+6514.27</f>
        <v>19456.07</v>
      </c>
      <c r="D27" s="25">
        <f>14674.64+4687.08</f>
        <v>19361.72</v>
      </c>
      <c r="E27" s="25">
        <f>2875.22+1171.3</f>
        <v>4046.5199999999995</v>
      </c>
      <c r="F27" s="25">
        <f>1666.92+1554.16</f>
        <v>3221.08</v>
      </c>
      <c r="G27" s="25">
        <f>1986.34+598.9</f>
        <v>2585.24</v>
      </c>
      <c r="H27" s="26"/>
      <c r="I27" s="25"/>
      <c r="J27" s="25"/>
      <c r="K27" s="25"/>
      <c r="L27" s="25"/>
      <c r="M27" s="25"/>
      <c r="N27" s="25"/>
      <c r="O27" s="25"/>
      <c r="P27" s="25"/>
      <c r="Q27" s="57">
        <f t="shared" si="1"/>
        <v>0</v>
      </c>
      <c r="R27" s="58">
        <f t="shared" si="0"/>
        <v>48670.63</v>
      </c>
      <c r="S27" s="59">
        <f t="shared" si="2"/>
        <v>48670.63</v>
      </c>
      <c r="U27" s="62"/>
    </row>
    <row r="28" spans="1:21" ht="15.75">
      <c r="A28" s="55">
        <v>24</v>
      </c>
      <c r="B28" s="56" t="s">
        <v>28</v>
      </c>
      <c r="C28" s="25">
        <f>6531.11+5660.08</f>
        <v>12191.189999999999</v>
      </c>
      <c r="D28" s="25">
        <f>4942.51+4157.54</f>
        <v>9100.05</v>
      </c>
      <c r="E28" s="25">
        <f>5970.93+2825.24</f>
        <v>8796.17</v>
      </c>
      <c r="F28" s="25">
        <f>952.6+256.61</f>
        <v>1209.21</v>
      </c>
      <c r="G28" s="25">
        <f>453.56+358.5</f>
        <v>812.06</v>
      </c>
      <c r="H28" s="26"/>
      <c r="I28" s="25"/>
      <c r="J28" s="25"/>
      <c r="K28" s="25"/>
      <c r="L28" s="25"/>
      <c r="M28" s="25"/>
      <c r="N28" s="25"/>
      <c r="O28" s="25"/>
      <c r="P28" s="25"/>
      <c r="Q28" s="57">
        <f t="shared" si="1"/>
        <v>0</v>
      </c>
      <c r="R28" s="58">
        <f t="shared" si="0"/>
        <v>32108.679999999997</v>
      </c>
      <c r="S28" s="59">
        <f t="shared" si="2"/>
        <v>32108.679999999997</v>
      </c>
      <c r="U28" s="62"/>
    </row>
    <row r="29" spans="1:21" ht="15.75">
      <c r="A29" s="55">
        <v>25</v>
      </c>
      <c r="B29" s="56" t="s">
        <v>29</v>
      </c>
      <c r="C29" s="25">
        <f>17210.43+13573.58+16909.35</f>
        <v>47693.36</v>
      </c>
      <c r="D29" s="25">
        <f>24483.7+24231.27+15938.58</f>
        <v>64653.55</v>
      </c>
      <c r="E29" s="25">
        <f>6396.61+3114.34+6182.56</f>
        <v>15693.510000000002</v>
      </c>
      <c r="F29" s="25">
        <f>1334.68+1264.88+1018.42</f>
        <v>3617.9800000000005</v>
      </c>
      <c r="G29" s="25">
        <f>1904.01+1883.88+1886.19</f>
        <v>5674.08</v>
      </c>
      <c r="H29" s="26"/>
      <c r="I29" s="25"/>
      <c r="J29" s="25"/>
      <c r="K29" s="25"/>
      <c r="L29" s="25"/>
      <c r="M29" s="25">
        <v>2678.98</v>
      </c>
      <c r="N29" s="25"/>
      <c r="O29" s="25"/>
      <c r="P29" s="25"/>
      <c r="Q29" s="57">
        <f t="shared" si="1"/>
        <v>2678.98</v>
      </c>
      <c r="R29" s="58">
        <f t="shared" si="0"/>
        <v>140011.46000000002</v>
      </c>
      <c r="S29" s="59">
        <f t="shared" si="2"/>
        <v>137332.48</v>
      </c>
      <c r="U29" s="62"/>
    </row>
    <row r="30" spans="1:21" ht="15.75">
      <c r="A30" s="55">
        <v>26</v>
      </c>
      <c r="B30" s="56" t="s">
        <v>30</v>
      </c>
      <c r="C30" s="25">
        <f>32753+3344.98</f>
        <v>36097.98</v>
      </c>
      <c r="D30" s="25">
        <f>39079.16+3007.57</f>
        <v>42086.73</v>
      </c>
      <c r="E30" s="25">
        <f>16802.5+841.51</f>
        <v>17644.01</v>
      </c>
      <c r="F30" s="25">
        <f>4433.9+498.77</f>
        <v>4932.67</v>
      </c>
      <c r="G30" s="25">
        <f>5456.04+503.36</f>
        <v>5959.4</v>
      </c>
      <c r="H30" s="26">
        <v>495.14</v>
      </c>
      <c r="I30" s="25"/>
      <c r="J30" s="25">
        <v>1833.6</v>
      </c>
      <c r="K30" s="25"/>
      <c r="L30" s="25">
        <v>3260.32</v>
      </c>
      <c r="M30" s="25"/>
      <c r="N30" s="25">
        <v>5357.96</v>
      </c>
      <c r="O30" s="25"/>
      <c r="P30" s="25"/>
      <c r="Q30" s="57">
        <f t="shared" si="1"/>
        <v>10947.02</v>
      </c>
      <c r="R30" s="58">
        <f t="shared" si="0"/>
        <v>117667.81000000001</v>
      </c>
      <c r="S30" s="59">
        <f t="shared" si="2"/>
        <v>106720.79000000001</v>
      </c>
      <c r="U30" s="62"/>
    </row>
    <row r="31" spans="1:21" ht="15.75">
      <c r="A31" s="55">
        <v>27</v>
      </c>
      <c r="B31" s="56" t="s">
        <v>40</v>
      </c>
      <c r="C31" s="25">
        <v>4056.35</v>
      </c>
      <c r="D31" s="25">
        <v>3947.43</v>
      </c>
      <c r="E31" s="25">
        <v>1629.33</v>
      </c>
      <c r="F31" s="25">
        <v>353.18</v>
      </c>
      <c r="G31" s="25">
        <v>399.49</v>
      </c>
      <c r="H31" s="26"/>
      <c r="I31" s="25"/>
      <c r="J31" s="25"/>
      <c r="K31" s="25"/>
      <c r="L31" s="25"/>
      <c r="M31" s="25"/>
      <c r="N31" s="25"/>
      <c r="O31" s="25"/>
      <c r="P31" s="25"/>
      <c r="Q31" s="57">
        <f t="shared" si="1"/>
        <v>0</v>
      </c>
      <c r="R31" s="58">
        <f t="shared" si="0"/>
        <v>10385.78</v>
      </c>
      <c r="S31" s="59">
        <f t="shared" si="2"/>
        <v>10385.78</v>
      </c>
      <c r="U31" s="62"/>
    </row>
    <row r="32" spans="1:21" ht="15.75">
      <c r="A32" s="55">
        <v>28</v>
      </c>
      <c r="B32" s="56" t="s">
        <v>41</v>
      </c>
      <c r="C32" s="25">
        <f>11465.59+3091.57+2993.05+3903.83</f>
        <v>21454.04</v>
      </c>
      <c r="D32" s="25">
        <f>11893.97+2763.03+2795.3+3875.59</f>
        <v>21327.89</v>
      </c>
      <c r="E32" s="25">
        <f>13392.95+713.01+2187.46+1553.31</f>
        <v>17846.730000000003</v>
      </c>
      <c r="F32" s="25">
        <f>1195.48+343.25+208.87+726.23</f>
        <v>2473.83</v>
      </c>
      <c r="G32" s="25">
        <f>1172.44+309.13+417.92+326.91</f>
        <v>2226.4</v>
      </c>
      <c r="H32" s="26"/>
      <c r="I32" s="25"/>
      <c r="J32" s="25">
        <v>1833.6</v>
      </c>
      <c r="K32" s="25"/>
      <c r="L32" s="25"/>
      <c r="M32" s="25">
        <v>3299.87</v>
      </c>
      <c r="N32" s="25"/>
      <c r="O32" s="25"/>
      <c r="P32" s="25"/>
      <c r="Q32" s="57">
        <f t="shared" si="1"/>
        <v>5133.469999999999</v>
      </c>
      <c r="R32" s="58">
        <f t="shared" si="0"/>
        <v>70462.36</v>
      </c>
      <c r="S32" s="59">
        <f t="shared" si="2"/>
        <v>65328.89</v>
      </c>
      <c r="U32" s="62"/>
    </row>
    <row r="33" spans="1:21" ht="15.75">
      <c r="A33" s="55">
        <v>29</v>
      </c>
      <c r="B33" s="56" t="s">
        <v>42</v>
      </c>
      <c r="C33" s="25">
        <v>15786.37</v>
      </c>
      <c r="D33" s="25">
        <v>21072.9</v>
      </c>
      <c r="E33" s="25">
        <v>11795.83</v>
      </c>
      <c r="F33" s="25">
        <v>839.09</v>
      </c>
      <c r="G33" s="25">
        <v>2379.47</v>
      </c>
      <c r="H33" s="26"/>
      <c r="I33" s="25"/>
      <c r="J33" s="25"/>
      <c r="K33" s="25"/>
      <c r="L33" s="25"/>
      <c r="M33" s="25"/>
      <c r="N33" s="25"/>
      <c r="O33" s="25"/>
      <c r="P33" s="25"/>
      <c r="Q33" s="57">
        <f t="shared" si="1"/>
        <v>0</v>
      </c>
      <c r="R33" s="58">
        <f t="shared" si="0"/>
        <v>51873.66</v>
      </c>
      <c r="S33" s="59">
        <f t="shared" si="2"/>
        <v>51873.66</v>
      </c>
      <c r="U33" s="62"/>
    </row>
    <row r="34" spans="1:21" ht="15.75">
      <c r="A34" s="55">
        <v>30</v>
      </c>
      <c r="B34" s="56" t="s">
        <v>44</v>
      </c>
      <c r="C34" s="25">
        <v>6392.9</v>
      </c>
      <c r="D34" s="25">
        <v>6045.19</v>
      </c>
      <c r="E34" s="25">
        <v>2120.3</v>
      </c>
      <c r="F34" s="25">
        <v>902.33</v>
      </c>
      <c r="G34" s="25">
        <v>706.01</v>
      </c>
      <c r="H34" s="26"/>
      <c r="I34" s="25"/>
      <c r="J34" s="25"/>
      <c r="K34" s="25"/>
      <c r="L34" s="25"/>
      <c r="M34" s="25"/>
      <c r="N34" s="25"/>
      <c r="O34" s="25"/>
      <c r="P34" s="25"/>
      <c r="Q34" s="57">
        <f t="shared" si="1"/>
        <v>0</v>
      </c>
      <c r="R34" s="58">
        <f t="shared" si="0"/>
        <v>16166.73</v>
      </c>
      <c r="S34" s="59">
        <f t="shared" si="2"/>
        <v>16166.73</v>
      </c>
      <c r="U34" s="62"/>
    </row>
    <row r="35" spans="1:21" ht="15.75">
      <c r="A35" s="55">
        <v>31</v>
      </c>
      <c r="B35" s="56" t="s">
        <v>45</v>
      </c>
      <c r="C35" s="25">
        <v>4721.47</v>
      </c>
      <c r="D35" s="25">
        <v>4119.54</v>
      </c>
      <c r="E35" s="25">
        <v>4091.5</v>
      </c>
      <c r="F35" s="25">
        <v>169.03</v>
      </c>
      <c r="G35" s="25">
        <v>443.58</v>
      </c>
      <c r="H35" s="26"/>
      <c r="I35" s="25"/>
      <c r="J35" s="25"/>
      <c r="K35" s="25"/>
      <c r="L35" s="25"/>
      <c r="M35" s="25"/>
      <c r="N35" s="25"/>
      <c r="O35" s="25"/>
      <c r="P35" s="25"/>
      <c r="Q35" s="57">
        <f t="shared" si="1"/>
        <v>0</v>
      </c>
      <c r="R35" s="58">
        <f t="shared" si="0"/>
        <v>13545.12</v>
      </c>
      <c r="S35" s="59">
        <f t="shared" si="2"/>
        <v>13545.12</v>
      </c>
      <c r="U35" s="62"/>
    </row>
    <row r="36" spans="1:56" s="48" customFormat="1" ht="15.75">
      <c r="A36" s="55">
        <v>32</v>
      </c>
      <c r="B36" s="56" t="s">
        <v>47</v>
      </c>
      <c r="C36" s="25">
        <v>6936.7</v>
      </c>
      <c r="D36" s="25">
        <v>8054.38</v>
      </c>
      <c r="E36" s="25">
        <v>4239.37</v>
      </c>
      <c r="F36" s="25">
        <v>1783.5</v>
      </c>
      <c r="G36" s="25">
        <v>1062.05</v>
      </c>
      <c r="H36" s="25"/>
      <c r="I36" s="25"/>
      <c r="J36" s="25"/>
      <c r="K36" s="25"/>
      <c r="L36" s="25"/>
      <c r="M36" s="25"/>
      <c r="N36" s="25"/>
      <c r="O36" s="25"/>
      <c r="P36" s="25"/>
      <c r="Q36" s="57">
        <f t="shared" si="1"/>
        <v>0</v>
      </c>
      <c r="R36" s="58">
        <f t="shared" si="0"/>
        <v>22076</v>
      </c>
      <c r="S36" s="59">
        <f t="shared" si="2"/>
        <v>22076</v>
      </c>
      <c r="T36" s="4"/>
      <c r="U36" s="62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21" s="4" customFormat="1" ht="15.75">
      <c r="A37" s="55">
        <v>33</v>
      </c>
      <c r="B37" s="56" t="s">
        <v>60</v>
      </c>
      <c r="C37" s="25">
        <v>1804.81</v>
      </c>
      <c r="D37" s="25">
        <v>2822.48</v>
      </c>
      <c r="E37" s="25">
        <v>3509.55</v>
      </c>
      <c r="F37" s="25">
        <v>189.4</v>
      </c>
      <c r="G37" s="25">
        <v>264.89</v>
      </c>
      <c r="H37" s="25"/>
      <c r="I37" s="25"/>
      <c r="J37" s="25"/>
      <c r="K37" s="25"/>
      <c r="L37" s="25"/>
      <c r="M37" s="25"/>
      <c r="N37" s="25"/>
      <c r="O37" s="25"/>
      <c r="P37" s="25"/>
      <c r="Q37" s="57">
        <f t="shared" si="1"/>
        <v>0</v>
      </c>
      <c r="R37" s="58">
        <f t="shared" si="0"/>
        <v>8591.13</v>
      </c>
      <c r="S37" s="59">
        <f t="shared" si="2"/>
        <v>8591.13</v>
      </c>
      <c r="U37" s="62"/>
    </row>
    <row r="38" spans="1:21" s="4" customFormat="1" ht="16.5" thickBot="1">
      <c r="A38" s="55">
        <v>34</v>
      </c>
      <c r="B38" s="56" t="s">
        <v>61</v>
      </c>
      <c r="C38" s="25">
        <v>4944.43</v>
      </c>
      <c r="D38" s="25">
        <v>4900.02</v>
      </c>
      <c r="E38" s="25">
        <v>1387.26</v>
      </c>
      <c r="F38" s="25">
        <v>2352.05</v>
      </c>
      <c r="G38" s="25">
        <v>718.55</v>
      </c>
      <c r="H38" s="25"/>
      <c r="I38" s="25"/>
      <c r="J38" s="25"/>
      <c r="K38" s="25"/>
      <c r="L38" s="25"/>
      <c r="M38" s="25"/>
      <c r="N38" s="25"/>
      <c r="O38" s="25"/>
      <c r="P38" s="25"/>
      <c r="Q38" s="57">
        <f t="shared" si="1"/>
        <v>0</v>
      </c>
      <c r="R38" s="58">
        <f t="shared" si="0"/>
        <v>14302.310000000001</v>
      </c>
      <c r="S38" s="59">
        <f t="shared" si="2"/>
        <v>14302.310000000001</v>
      </c>
      <c r="U38" s="62"/>
    </row>
    <row r="39" spans="1:56" s="49" customFormat="1" ht="26.25" customHeight="1" thickBot="1">
      <c r="A39" s="57"/>
      <c r="B39" s="57" t="s">
        <v>31</v>
      </c>
      <c r="C39" s="57">
        <f>SUM(C5:C38)</f>
        <v>816353.27</v>
      </c>
      <c r="D39" s="57">
        <f aca="true" t="shared" si="3" ref="D39:P39">SUM(D5:D38)</f>
        <v>929829.09</v>
      </c>
      <c r="E39" s="57">
        <f t="shared" si="3"/>
        <v>655557.5700000002</v>
      </c>
      <c r="F39" s="57">
        <f t="shared" si="3"/>
        <v>99328.51999999997</v>
      </c>
      <c r="G39" s="57">
        <f t="shared" si="3"/>
        <v>105505.21</v>
      </c>
      <c r="H39" s="57">
        <f t="shared" si="3"/>
        <v>14552.64</v>
      </c>
      <c r="I39" s="57">
        <f t="shared" si="3"/>
        <v>247.57</v>
      </c>
      <c r="J39" s="57">
        <f t="shared" si="3"/>
        <v>19977.619999999995</v>
      </c>
      <c r="K39" s="57">
        <f t="shared" si="3"/>
        <v>20092.329999999998</v>
      </c>
      <c r="L39" s="57">
        <f t="shared" si="3"/>
        <v>132083.09</v>
      </c>
      <c r="M39" s="57">
        <f t="shared" si="3"/>
        <v>11336.8</v>
      </c>
      <c r="N39" s="57">
        <f t="shared" si="3"/>
        <v>74201.64</v>
      </c>
      <c r="O39" s="57">
        <f t="shared" si="3"/>
        <v>1815.63</v>
      </c>
      <c r="P39" s="57">
        <f t="shared" si="3"/>
        <v>40911.85</v>
      </c>
      <c r="Q39" s="57">
        <f t="shared" si="1"/>
        <v>315219.17</v>
      </c>
      <c r="R39" s="58">
        <f t="shared" si="0"/>
        <v>2921792.83</v>
      </c>
      <c r="S39" s="59">
        <f t="shared" si="2"/>
        <v>2606573.66</v>
      </c>
      <c r="T39" s="4"/>
      <c r="U39" s="62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2:19" ht="15.75">
      <c r="B40" s="29"/>
      <c r="C40" s="30"/>
      <c r="D40" s="30"/>
      <c r="E40" s="30"/>
      <c r="F40" s="31"/>
      <c r="G40" s="31"/>
      <c r="H40" s="32"/>
      <c r="I40" s="30"/>
      <c r="J40" s="30"/>
      <c r="K40" s="30"/>
      <c r="L40" s="30"/>
      <c r="M40" s="30"/>
      <c r="N40" s="30"/>
      <c r="O40" s="30"/>
      <c r="P40" s="30"/>
      <c r="Q40" s="30"/>
      <c r="S40" s="32"/>
    </row>
    <row r="41" spans="2:19" ht="15.75">
      <c r="B41" s="33"/>
      <c r="C41" s="30"/>
      <c r="D41" s="30"/>
      <c r="E41" s="30"/>
      <c r="F41" s="31"/>
      <c r="G41" s="31"/>
      <c r="H41" s="32"/>
      <c r="I41" s="30"/>
      <c r="J41" s="30"/>
      <c r="K41" s="30"/>
      <c r="L41" s="30"/>
      <c r="M41" s="30"/>
      <c r="N41" s="30"/>
      <c r="O41" s="30"/>
      <c r="P41" s="30"/>
      <c r="Q41" s="30"/>
      <c r="S41" s="32"/>
    </row>
    <row r="42" spans="2:18" ht="15">
      <c r="B42" s="8"/>
      <c r="C42" s="1"/>
      <c r="D42" s="1"/>
      <c r="E42" s="1"/>
      <c r="F42" s="2"/>
      <c r="G42" s="2"/>
      <c r="H42" s="15"/>
      <c r="I42" s="1"/>
      <c r="J42" s="1"/>
      <c r="K42" s="1"/>
      <c r="L42" s="1"/>
      <c r="M42" s="1"/>
      <c r="N42" s="1"/>
      <c r="O42" s="1"/>
      <c r="P42" s="1"/>
      <c r="Q42" s="1"/>
      <c r="R42" s="3"/>
    </row>
    <row r="43" spans="2:17" ht="15">
      <c r="B43" s="8"/>
      <c r="C43" s="1"/>
      <c r="D43" s="1"/>
      <c r="E43" s="1"/>
      <c r="F43" s="2"/>
      <c r="G43" s="2"/>
      <c r="H43" s="16"/>
      <c r="I43" s="1"/>
      <c r="J43" s="1"/>
      <c r="K43" s="1"/>
      <c r="L43" s="1"/>
      <c r="M43" s="1"/>
      <c r="N43" s="1"/>
      <c r="O43" s="1"/>
      <c r="P43" s="1"/>
      <c r="Q43" s="1"/>
    </row>
    <row r="44" spans="2:17" ht="15">
      <c r="B44" s="8"/>
      <c r="C44" s="1"/>
      <c r="D44" s="1"/>
      <c r="E44" s="1"/>
      <c r="F44" s="2"/>
      <c r="G44" s="2"/>
      <c r="H44" s="15"/>
      <c r="I44" s="1"/>
      <c r="J44" s="1"/>
      <c r="K44" s="1"/>
      <c r="L44" s="1"/>
      <c r="M44" s="1"/>
      <c r="N44" s="1"/>
      <c r="O44" s="1"/>
      <c r="P44" s="1"/>
      <c r="Q44" s="1"/>
    </row>
    <row r="45" spans="2:17" ht="15">
      <c r="B45" s="8"/>
      <c r="C45" s="1"/>
      <c r="D45" s="1"/>
      <c r="E45" s="1"/>
      <c r="F45" s="2"/>
      <c r="G45" s="2"/>
      <c r="H45" s="15"/>
      <c r="I45" s="1"/>
      <c r="J45" s="1"/>
      <c r="K45" s="1"/>
      <c r="L45" s="1"/>
      <c r="M45" s="1"/>
      <c r="N45" s="1"/>
      <c r="O45" s="1"/>
      <c r="P45" s="1"/>
      <c r="Q45" s="1"/>
    </row>
    <row r="46" spans="2:19" ht="12.75">
      <c r="B46" s="14"/>
      <c r="S46" s="63"/>
    </row>
    <row r="47" spans="2:12" ht="12.75">
      <c r="B47" s="9"/>
      <c r="F47" s="3"/>
      <c r="G47" s="3"/>
      <c r="L47" s="3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spans="2:19" ht="12.75">
      <c r="B56" s="10"/>
      <c r="C56" s="4"/>
      <c r="D56" s="4"/>
      <c r="E56" s="4"/>
      <c r="F56" s="4"/>
      <c r="G56" s="4"/>
      <c r="H56" s="18"/>
      <c r="I56" s="4"/>
      <c r="J56" s="4"/>
      <c r="K56" s="4"/>
      <c r="L56" s="4"/>
      <c r="M56" s="4"/>
      <c r="N56" s="4"/>
      <c r="O56" s="4"/>
      <c r="P56" s="4"/>
      <c r="Q56" s="4"/>
      <c r="R56" s="4"/>
      <c r="S56" s="13"/>
    </row>
    <row r="57" spans="2:19" ht="12.75">
      <c r="B57" s="10"/>
      <c r="C57" s="4"/>
      <c r="D57" s="4"/>
      <c r="E57" s="4"/>
      <c r="F57" s="4"/>
      <c r="G57" s="4"/>
      <c r="H57" s="18"/>
      <c r="I57" s="4"/>
      <c r="J57" s="4"/>
      <c r="K57" s="4"/>
      <c r="L57" s="4"/>
      <c r="M57" s="4"/>
      <c r="N57" s="4"/>
      <c r="O57" s="4"/>
      <c r="P57" s="4"/>
      <c r="Q57" s="4"/>
      <c r="R57" s="4"/>
      <c r="S57" s="13"/>
    </row>
    <row r="58" spans="2:19" ht="12.75">
      <c r="B58" s="10"/>
      <c r="C58" s="4"/>
      <c r="D58" s="4"/>
      <c r="E58" s="4"/>
      <c r="F58" s="4"/>
      <c r="G58" s="4"/>
      <c r="H58" s="18"/>
      <c r="I58" s="4"/>
      <c r="J58" s="4"/>
      <c r="K58" s="4"/>
      <c r="L58" s="4"/>
      <c r="M58" s="4"/>
      <c r="N58" s="4"/>
      <c r="O58" s="4"/>
      <c r="P58" s="4"/>
      <c r="Q58" s="4"/>
      <c r="R58" s="4"/>
      <c r="S58" s="13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40"/>
  <sheetViews>
    <sheetView workbookViewId="0" topLeftCell="A1">
      <selection activeCell="H23" sqref="H23"/>
    </sheetView>
  </sheetViews>
  <sheetFormatPr defaultColWidth="9.140625" defaultRowHeight="12.75"/>
  <cols>
    <col min="2" max="2" width="30.421875" style="0" customWidth="1"/>
    <col min="3" max="3" width="12.57421875" style="0" customWidth="1"/>
    <col min="8" max="8" width="12.7109375" style="0" customWidth="1"/>
  </cols>
  <sheetData>
    <row r="3" spans="1:8" ht="15">
      <c r="A3" s="78" t="s">
        <v>69</v>
      </c>
      <c r="B3" s="78"/>
      <c r="C3" s="78"/>
      <c r="D3" s="78"/>
      <c r="E3" s="78"/>
      <c r="F3" s="78"/>
      <c r="G3" s="78"/>
      <c r="H3" s="78"/>
    </row>
    <row r="4" spans="1:8" ht="14.25">
      <c r="A4" s="36"/>
      <c r="B4" s="36"/>
      <c r="C4" s="38"/>
      <c r="D4" s="1"/>
      <c r="E4" s="1"/>
      <c r="F4" s="1"/>
      <c r="G4" s="36"/>
      <c r="H4" s="36"/>
    </row>
    <row r="5" spans="1:3" ht="15.75">
      <c r="A5" s="50" t="s">
        <v>0</v>
      </c>
      <c r="B5" s="51" t="s">
        <v>1</v>
      </c>
      <c r="C5" s="51" t="s">
        <v>73</v>
      </c>
    </row>
    <row r="6" spans="1:3" ht="15.75">
      <c r="A6" s="55">
        <v>1</v>
      </c>
      <c r="B6" s="56" t="s">
        <v>6</v>
      </c>
      <c r="C6" s="67">
        <v>878.85</v>
      </c>
    </row>
    <row r="7" spans="1:3" ht="15.75">
      <c r="A7" s="55">
        <v>2</v>
      </c>
      <c r="B7" s="56" t="s">
        <v>7</v>
      </c>
      <c r="C7" s="67"/>
    </row>
    <row r="8" spans="1:3" ht="15.75">
      <c r="A8" s="55">
        <v>3</v>
      </c>
      <c r="B8" s="56" t="s">
        <v>8</v>
      </c>
      <c r="C8" s="67"/>
    </row>
    <row r="9" spans="1:3" ht="15.75">
      <c r="A9" s="55">
        <v>4</v>
      </c>
      <c r="B9" s="56" t="s">
        <v>9</v>
      </c>
      <c r="C9" s="67"/>
    </row>
    <row r="10" spans="1:3" ht="15.75">
      <c r="A10" s="55">
        <v>5</v>
      </c>
      <c r="B10" s="56" t="s">
        <v>10</v>
      </c>
      <c r="C10" s="67"/>
    </row>
    <row r="11" spans="1:3" ht="15.75">
      <c r="A11" s="55">
        <v>6</v>
      </c>
      <c r="B11" s="56" t="s">
        <v>11</v>
      </c>
      <c r="C11" s="67"/>
    </row>
    <row r="12" spans="1:3" ht="15.75">
      <c r="A12" s="55">
        <v>7</v>
      </c>
      <c r="B12" s="56" t="s">
        <v>59</v>
      </c>
      <c r="C12" s="67"/>
    </row>
    <row r="13" spans="1:3" ht="15.75">
      <c r="A13" s="55">
        <v>8</v>
      </c>
      <c r="B13" s="56" t="s">
        <v>12</v>
      </c>
      <c r="C13" s="67"/>
    </row>
    <row r="14" spans="1:3" ht="15.75">
      <c r="A14" s="55">
        <v>9</v>
      </c>
      <c r="B14" s="56" t="s">
        <v>13</v>
      </c>
      <c r="C14" s="67"/>
    </row>
    <row r="15" spans="1:3" ht="15.75">
      <c r="A15" s="55">
        <v>10</v>
      </c>
      <c r="B15" s="56" t="s">
        <v>14</v>
      </c>
      <c r="C15" s="67"/>
    </row>
    <row r="16" spans="1:3" ht="15.75">
      <c r="A16" s="55">
        <v>11</v>
      </c>
      <c r="B16" s="56" t="s">
        <v>15</v>
      </c>
      <c r="C16" s="67"/>
    </row>
    <row r="17" spans="1:3" ht="15.75">
      <c r="A17" s="55">
        <v>12</v>
      </c>
      <c r="B17" s="56" t="s">
        <v>16</v>
      </c>
      <c r="C17" s="67"/>
    </row>
    <row r="18" spans="1:3" ht="15.75">
      <c r="A18" s="55">
        <v>13</v>
      </c>
      <c r="B18" s="56" t="s">
        <v>17</v>
      </c>
      <c r="C18" s="67"/>
    </row>
    <row r="19" spans="1:3" ht="15.75">
      <c r="A19" s="55">
        <v>14</v>
      </c>
      <c r="B19" s="56" t="s">
        <v>18</v>
      </c>
      <c r="C19" s="67"/>
    </row>
    <row r="20" spans="1:3" ht="15.75">
      <c r="A20" s="55">
        <v>15</v>
      </c>
      <c r="B20" s="56" t="s">
        <v>19</v>
      </c>
      <c r="C20" s="67"/>
    </row>
    <row r="21" spans="1:3" ht="15.75">
      <c r="A21" s="55">
        <v>16</v>
      </c>
      <c r="B21" s="56" t="s">
        <v>20</v>
      </c>
      <c r="C21" s="67"/>
    </row>
    <row r="22" spans="1:3" ht="15.75">
      <c r="A22" s="55">
        <v>17</v>
      </c>
      <c r="B22" s="56" t="s">
        <v>21</v>
      </c>
      <c r="C22" s="67"/>
    </row>
    <row r="23" spans="1:3" ht="15.75">
      <c r="A23" s="55">
        <v>18</v>
      </c>
      <c r="B23" s="56" t="s">
        <v>22</v>
      </c>
      <c r="C23" s="67"/>
    </row>
    <row r="24" spans="1:3" ht="15.75">
      <c r="A24" s="55">
        <v>19</v>
      </c>
      <c r="B24" s="56" t="s">
        <v>23</v>
      </c>
      <c r="C24" s="67"/>
    </row>
    <row r="25" spans="1:3" ht="15.75">
      <c r="A25" s="55">
        <v>20</v>
      </c>
      <c r="B25" s="56" t="s">
        <v>24</v>
      </c>
      <c r="C25" s="67"/>
    </row>
    <row r="26" spans="1:3" ht="15.75">
      <c r="A26" s="55">
        <v>21</v>
      </c>
      <c r="B26" s="56" t="s">
        <v>25</v>
      </c>
      <c r="C26" s="67">
        <v>878.84</v>
      </c>
    </row>
    <row r="27" spans="1:3" ht="15.75">
      <c r="A27" s="55">
        <v>22</v>
      </c>
      <c r="B27" s="56" t="s">
        <v>26</v>
      </c>
      <c r="C27" s="67"/>
    </row>
    <row r="28" spans="1:3" ht="15.75">
      <c r="A28" s="55">
        <v>23</v>
      </c>
      <c r="B28" s="56" t="s">
        <v>27</v>
      </c>
      <c r="C28" s="67"/>
    </row>
    <row r="29" spans="1:3" ht="15.75">
      <c r="A29" s="55">
        <v>24</v>
      </c>
      <c r="B29" s="56" t="s">
        <v>28</v>
      </c>
      <c r="C29" s="67"/>
    </row>
    <row r="30" spans="1:3" ht="15.75">
      <c r="A30" s="55">
        <v>25</v>
      </c>
      <c r="B30" s="56" t="s">
        <v>29</v>
      </c>
      <c r="C30" s="67"/>
    </row>
    <row r="31" spans="1:3" ht="15.75">
      <c r="A31" s="55">
        <v>26</v>
      </c>
      <c r="B31" s="56" t="s">
        <v>30</v>
      </c>
      <c r="C31" s="67"/>
    </row>
    <row r="32" spans="1:3" ht="15.75">
      <c r="A32" s="55">
        <v>27</v>
      </c>
      <c r="B32" s="56" t="s">
        <v>40</v>
      </c>
      <c r="C32" s="67"/>
    </row>
    <row r="33" spans="1:3" ht="15.75">
      <c r="A33" s="55">
        <v>28</v>
      </c>
      <c r="B33" s="56" t="s">
        <v>41</v>
      </c>
      <c r="C33" s="67"/>
    </row>
    <row r="34" spans="1:3" ht="15.75">
      <c r="A34" s="55">
        <v>29</v>
      </c>
      <c r="B34" s="56" t="s">
        <v>42</v>
      </c>
      <c r="C34" s="67"/>
    </row>
    <row r="35" spans="1:3" ht="15.75">
      <c r="A35" s="55">
        <v>30</v>
      </c>
      <c r="B35" s="56" t="s">
        <v>44</v>
      </c>
      <c r="C35" s="67"/>
    </row>
    <row r="36" spans="1:3" ht="15.75">
      <c r="A36" s="55">
        <v>31</v>
      </c>
      <c r="B36" s="56" t="s">
        <v>45</v>
      </c>
      <c r="C36" s="67"/>
    </row>
    <row r="37" spans="1:3" ht="15.75">
      <c r="A37" s="55">
        <v>32</v>
      </c>
      <c r="B37" s="56" t="s">
        <v>47</v>
      </c>
      <c r="C37" s="67"/>
    </row>
    <row r="38" spans="1:3" ht="15.75">
      <c r="A38" s="55">
        <v>33</v>
      </c>
      <c r="B38" s="56" t="s">
        <v>60</v>
      </c>
      <c r="C38" s="67"/>
    </row>
    <row r="39" spans="1:3" ht="15.75">
      <c r="A39" s="55">
        <v>34</v>
      </c>
      <c r="B39" s="56" t="s">
        <v>61</v>
      </c>
      <c r="C39" s="67"/>
    </row>
    <row r="40" spans="1:3" ht="15.75">
      <c r="A40" s="57"/>
      <c r="B40" s="57" t="s">
        <v>31</v>
      </c>
      <c r="C40" s="68">
        <f>SUM(C6:C39)</f>
        <v>1757.69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40"/>
  <sheetViews>
    <sheetView workbookViewId="0" topLeftCell="A1">
      <selection activeCell="E47" sqref="E47"/>
    </sheetView>
  </sheetViews>
  <sheetFormatPr defaultColWidth="9.140625" defaultRowHeight="12.75"/>
  <cols>
    <col min="2" max="2" width="29.140625" style="0" customWidth="1"/>
    <col min="3" max="3" width="15.140625" style="0" customWidth="1"/>
  </cols>
  <sheetData>
    <row r="3" spans="1:9" ht="15">
      <c r="A3" s="61" t="s">
        <v>70</v>
      </c>
      <c r="B3" s="61"/>
      <c r="C3" s="61"/>
      <c r="D3" s="61"/>
      <c r="E3" s="61"/>
      <c r="F3" s="61"/>
      <c r="G3" s="61"/>
      <c r="H3" s="61"/>
      <c r="I3" s="61"/>
    </row>
    <row r="4" spans="1:9" ht="14.25">
      <c r="A4" s="36"/>
      <c r="B4" s="36"/>
      <c r="C4" s="38"/>
      <c r="D4" s="1"/>
      <c r="E4" s="1"/>
      <c r="F4" s="1"/>
      <c r="G4" s="1"/>
      <c r="H4" s="36"/>
      <c r="I4" s="36"/>
    </row>
    <row r="5" spans="1:9" ht="47.25">
      <c r="A5" s="50" t="s">
        <v>0</v>
      </c>
      <c r="B5" s="51" t="s">
        <v>1</v>
      </c>
      <c r="C5" s="51" t="s">
        <v>81</v>
      </c>
      <c r="D5" s="36"/>
      <c r="E5" s="36"/>
      <c r="F5" s="36"/>
      <c r="G5" s="36"/>
      <c r="H5" s="36"/>
      <c r="I5" s="36"/>
    </row>
    <row r="6" spans="1:9" ht="15.75">
      <c r="A6" s="55">
        <v>1</v>
      </c>
      <c r="B6" s="56" t="s">
        <v>6</v>
      </c>
      <c r="C6" s="6">
        <v>1633.9</v>
      </c>
      <c r="D6" s="36"/>
      <c r="E6" s="36"/>
      <c r="F6" s="36"/>
      <c r="G6" s="36"/>
      <c r="H6" s="36"/>
      <c r="I6" s="36"/>
    </row>
    <row r="7" spans="1:3" ht="15.75">
      <c r="A7" s="55">
        <v>2</v>
      </c>
      <c r="B7" s="56" t="s">
        <v>7</v>
      </c>
      <c r="C7" s="67"/>
    </row>
    <row r="8" spans="1:3" ht="15.75">
      <c r="A8" s="55">
        <v>3</v>
      </c>
      <c r="B8" s="56" t="s">
        <v>8</v>
      </c>
      <c r="C8" s="67">
        <v>653.56</v>
      </c>
    </row>
    <row r="9" spans="1:3" ht="15.75">
      <c r="A9" s="55">
        <v>4</v>
      </c>
      <c r="B9" s="56" t="s">
        <v>9</v>
      </c>
      <c r="C9" s="67"/>
    </row>
    <row r="10" spans="1:3" ht="15.75">
      <c r="A10" s="55">
        <v>5</v>
      </c>
      <c r="B10" s="56" t="s">
        <v>10</v>
      </c>
      <c r="C10" s="67"/>
    </row>
    <row r="11" spans="1:3" ht="15.75">
      <c r="A11" s="55">
        <v>6</v>
      </c>
      <c r="B11" s="56" t="s">
        <v>11</v>
      </c>
      <c r="C11" s="67">
        <v>653.56</v>
      </c>
    </row>
    <row r="12" spans="1:3" ht="15.75">
      <c r="A12" s="55">
        <v>7</v>
      </c>
      <c r="B12" s="56" t="s">
        <v>59</v>
      </c>
      <c r="C12" s="67">
        <v>980.34</v>
      </c>
    </row>
    <row r="13" spans="1:3" ht="15.75">
      <c r="A13" s="55">
        <v>8</v>
      </c>
      <c r="B13" s="56" t="s">
        <v>12</v>
      </c>
      <c r="C13" s="67">
        <v>326.78</v>
      </c>
    </row>
    <row r="14" spans="1:3" ht="15.75">
      <c r="A14" s="55">
        <v>9</v>
      </c>
      <c r="B14" s="56" t="s">
        <v>13</v>
      </c>
      <c r="C14" s="67">
        <v>2287.46</v>
      </c>
    </row>
    <row r="15" spans="1:3" ht="15.75">
      <c r="A15" s="55">
        <v>10</v>
      </c>
      <c r="B15" s="56" t="s">
        <v>14</v>
      </c>
      <c r="C15" s="67">
        <v>326.78</v>
      </c>
    </row>
    <row r="16" spans="1:3" ht="15.75">
      <c r="A16" s="55">
        <v>11</v>
      </c>
      <c r="B16" s="56" t="s">
        <v>15</v>
      </c>
      <c r="C16" s="67">
        <v>653.56</v>
      </c>
    </row>
    <row r="17" spans="1:3" ht="15.75">
      <c r="A17" s="55">
        <v>12</v>
      </c>
      <c r="B17" s="56" t="s">
        <v>16</v>
      </c>
      <c r="C17" s="67">
        <v>490.17</v>
      </c>
    </row>
    <row r="18" spans="1:3" ht="15.75">
      <c r="A18" s="55">
        <v>13</v>
      </c>
      <c r="B18" s="56" t="s">
        <v>17</v>
      </c>
      <c r="C18" s="67">
        <v>326.78</v>
      </c>
    </row>
    <row r="19" spans="1:3" ht="15.75">
      <c r="A19" s="55">
        <v>14</v>
      </c>
      <c r="B19" s="56" t="s">
        <v>18</v>
      </c>
      <c r="C19" s="67"/>
    </row>
    <row r="20" spans="1:3" ht="15.75">
      <c r="A20" s="55">
        <v>15</v>
      </c>
      <c r="B20" s="56" t="s">
        <v>19</v>
      </c>
      <c r="C20" s="67"/>
    </row>
    <row r="21" spans="1:3" ht="15.75">
      <c r="A21" s="55">
        <v>16</v>
      </c>
      <c r="B21" s="56" t="s">
        <v>20</v>
      </c>
      <c r="C21" s="67"/>
    </row>
    <row r="22" spans="1:3" ht="15.75">
      <c r="A22" s="55">
        <v>17</v>
      </c>
      <c r="B22" s="56" t="s">
        <v>21</v>
      </c>
      <c r="C22" s="67">
        <v>980.34</v>
      </c>
    </row>
    <row r="23" spans="1:3" ht="15.75">
      <c r="A23" s="55">
        <v>18</v>
      </c>
      <c r="B23" s="56" t="s">
        <v>22</v>
      </c>
      <c r="C23" s="67">
        <v>1960.64</v>
      </c>
    </row>
    <row r="24" spans="1:3" ht="15.75">
      <c r="A24" s="55">
        <v>19</v>
      </c>
      <c r="B24" s="56" t="s">
        <v>23</v>
      </c>
      <c r="C24" s="67"/>
    </row>
    <row r="25" spans="1:3" ht="15.75">
      <c r="A25" s="55">
        <v>20</v>
      </c>
      <c r="B25" s="56" t="s">
        <v>24</v>
      </c>
      <c r="C25" s="67"/>
    </row>
    <row r="26" spans="1:3" ht="15.75">
      <c r="A26" s="55">
        <v>21</v>
      </c>
      <c r="B26" s="56" t="s">
        <v>25</v>
      </c>
      <c r="C26" s="67">
        <v>1960.62</v>
      </c>
    </row>
    <row r="27" spans="1:3" ht="15.75">
      <c r="A27" s="55">
        <v>22</v>
      </c>
      <c r="B27" s="56" t="s">
        <v>26</v>
      </c>
      <c r="C27" s="67"/>
    </row>
    <row r="28" spans="1:3" ht="15.75">
      <c r="A28" s="55">
        <v>23</v>
      </c>
      <c r="B28" s="56" t="s">
        <v>27</v>
      </c>
      <c r="C28" s="67"/>
    </row>
    <row r="29" spans="1:3" ht="15.75">
      <c r="A29" s="55">
        <v>24</v>
      </c>
      <c r="B29" s="56" t="s">
        <v>28</v>
      </c>
      <c r="C29" s="67"/>
    </row>
    <row r="30" spans="1:3" ht="15.75">
      <c r="A30" s="55">
        <v>25</v>
      </c>
      <c r="B30" s="56" t="s">
        <v>29</v>
      </c>
      <c r="C30" s="67">
        <v>2614.24</v>
      </c>
    </row>
    <row r="31" spans="1:3" ht="15.75">
      <c r="A31" s="55">
        <v>26</v>
      </c>
      <c r="B31" s="56" t="s">
        <v>30</v>
      </c>
      <c r="C31" s="67">
        <v>653.56</v>
      </c>
    </row>
    <row r="32" spans="1:3" ht="15.75">
      <c r="A32" s="55">
        <v>27</v>
      </c>
      <c r="B32" s="56" t="s">
        <v>40</v>
      </c>
      <c r="C32" s="67"/>
    </row>
    <row r="33" spans="1:3" ht="15.75">
      <c r="A33" s="55">
        <v>28</v>
      </c>
      <c r="B33" s="56" t="s">
        <v>41</v>
      </c>
      <c r="C33" s="67">
        <v>653.56</v>
      </c>
    </row>
    <row r="34" spans="1:3" ht="15.75">
      <c r="A34" s="55">
        <v>29</v>
      </c>
      <c r="B34" s="56" t="s">
        <v>42</v>
      </c>
      <c r="C34" s="67">
        <v>1307.12</v>
      </c>
    </row>
    <row r="35" spans="1:3" ht="15.75">
      <c r="A35" s="55">
        <v>30</v>
      </c>
      <c r="B35" s="56" t="s">
        <v>44</v>
      </c>
      <c r="C35" s="67"/>
    </row>
    <row r="36" spans="1:3" ht="15.75">
      <c r="A36" s="55">
        <v>31</v>
      </c>
      <c r="B36" s="56" t="s">
        <v>45</v>
      </c>
      <c r="C36" s="67">
        <v>326.78</v>
      </c>
    </row>
    <row r="37" spans="1:3" ht="15.75">
      <c r="A37" s="55">
        <v>32</v>
      </c>
      <c r="B37" s="56" t="s">
        <v>47</v>
      </c>
      <c r="C37" s="67">
        <v>326.78</v>
      </c>
    </row>
    <row r="38" spans="1:3" ht="15.75">
      <c r="A38" s="55">
        <v>33</v>
      </c>
      <c r="B38" s="56" t="s">
        <v>60</v>
      </c>
      <c r="C38" s="67"/>
    </row>
    <row r="39" spans="1:3" ht="15.75">
      <c r="A39" s="55">
        <v>34</v>
      </c>
      <c r="B39" s="56" t="s">
        <v>61</v>
      </c>
      <c r="C39" s="67"/>
    </row>
    <row r="40" spans="1:3" ht="15.75">
      <c r="A40" s="57"/>
      <c r="B40" s="57" t="s">
        <v>31</v>
      </c>
      <c r="C40" s="68">
        <f>SUM(C6:C39)</f>
        <v>19116.53</v>
      </c>
    </row>
  </sheetData>
  <printOptions/>
  <pageMargins left="0.75" right="0.75" top="1" bottom="1" header="0.5" footer="0.5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F40"/>
  <sheetViews>
    <sheetView workbookViewId="0" topLeftCell="A4">
      <selection activeCell="C42" sqref="C42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61" t="s">
        <v>71</v>
      </c>
      <c r="B3" s="61"/>
      <c r="C3" s="61"/>
      <c r="D3" s="61"/>
      <c r="E3" s="61"/>
      <c r="F3" s="61"/>
    </row>
    <row r="4" spans="1:6" ht="14.25">
      <c r="A4" s="80"/>
      <c r="B4" s="80"/>
      <c r="C4" s="80"/>
      <c r="D4" s="40"/>
      <c r="E4" s="36"/>
      <c r="F4" s="36"/>
    </row>
    <row r="5" spans="1:4" ht="31.5">
      <c r="A5" s="50" t="s">
        <v>0</v>
      </c>
      <c r="B5" s="51" t="s">
        <v>1</v>
      </c>
      <c r="C5" s="51" t="s">
        <v>78</v>
      </c>
      <c r="D5" s="51" t="s">
        <v>79</v>
      </c>
    </row>
    <row r="6" spans="1:4" ht="15.75">
      <c r="A6" s="55">
        <v>1</v>
      </c>
      <c r="B6" s="56" t="s">
        <v>6</v>
      </c>
      <c r="C6" s="67"/>
      <c r="D6" s="67"/>
    </row>
    <row r="7" spans="1:4" ht="15.75">
      <c r="A7" s="55">
        <v>2</v>
      </c>
      <c r="B7" s="56" t="s">
        <v>7</v>
      </c>
      <c r="C7" s="67"/>
      <c r="D7" s="67"/>
    </row>
    <row r="8" spans="1:4" ht="15.75">
      <c r="A8" s="55">
        <v>3</v>
      </c>
      <c r="B8" s="56" t="s">
        <v>8</v>
      </c>
      <c r="C8" s="67"/>
      <c r="D8" s="67"/>
    </row>
    <row r="9" spans="1:4" ht="15.75">
      <c r="A9" s="55">
        <v>4</v>
      </c>
      <c r="B9" s="56" t="s">
        <v>9</v>
      </c>
      <c r="C9" s="67"/>
      <c r="D9" s="67"/>
    </row>
    <row r="10" spans="1:4" ht="15.75">
      <c r="A10" s="55">
        <v>5</v>
      </c>
      <c r="B10" s="56" t="s">
        <v>10</v>
      </c>
      <c r="C10" s="67"/>
      <c r="D10" s="67"/>
    </row>
    <row r="11" spans="1:4" ht="15.75">
      <c r="A11" s="55">
        <v>6</v>
      </c>
      <c r="B11" s="56" t="s">
        <v>11</v>
      </c>
      <c r="C11" s="67"/>
      <c r="D11" s="67"/>
    </row>
    <row r="12" spans="1:4" ht="15.75">
      <c r="A12" s="55">
        <v>7</v>
      </c>
      <c r="B12" s="56" t="s">
        <v>59</v>
      </c>
      <c r="C12" s="67"/>
      <c r="D12" s="67"/>
    </row>
    <row r="13" spans="1:4" ht="15.75">
      <c r="A13" s="55">
        <v>8</v>
      </c>
      <c r="B13" s="56" t="s">
        <v>12</v>
      </c>
      <c r="C13" s="67"/>
      <c r="D13" s="67"/>
    </row>
    <row r="14" spans="1:4" ht="15.75">
      <c r="A14" s="55">
        <v>9</v>
      </c>
      <c r="B14" s="56" t="s">
        <v>13</v>
      </c>
      <c r="C14" s="67">
        <v>2866.47</v>
      </c>
      <c r="D14" s="67"/>
    </row>
    <row r="15" spans="1:4" ht="15.75">
      <c r="A15" s="55">
        <v>10</v>
      </c>
      <c r="B15" s="56" t="s">
        <v>14</v>
      </c>
      <c r="C15" s="67"/>
      <c r="D15" s="67"/>
    </row>
    <row r="16" spans="1:4" ht="15.75">
      <c r="A16" s="55">
        <v>11</v>
      </c>
      <c r="B16" s="56" t="s">
        <v>15</v>
      </c>
      <c r="C16" s="67"/>
      <c r="D16" s="67"/>
    </row>
    <row r="17" spans="1:4" ht="15.75">
      <c r="A17" s="55">
        <v>12</v>
      </c>
      <c r="B17" s="56" t="s">
        <v>16</v>
      </c>
      <c r="C17" s="67"/>
      <c r="D17" s="67"/>
    </row>
    <row r="18" spans="1:4" ht="15.75">
      <c r="A18" s="55">
        <v>13</v>
      </c>
      <c r="B18" s="56" t="s">
        <v>17</v>
      </c>
      <c r="C18" s="67">
        <v>6856.2</v>
      </c>
      <c r="D18" s="67">
        <v>12011.67</v>
      </c>
    </row>
    <row r="19" spans="1:4" ht="15.75">
      <c r="A19" s="55">
        <v>14</v>
      </c>
      <c r="B19" s="56" t="s">
        <v>18</v>
      </c>
      <c r="C19" s="67"/>
      <c r="D19" s="67"/>
    </row>
    <row r="20" spans="1:4" ht="15.75">
      <c r="A20" s="55">
        <v>15</v>
      </c>
      <c r="B20" s="56" t="s">
        <v>19</v>
      </c>
      <c r="C20" s="67"/>
      <c r="D20" s="67"/>
    </row>
    <row r="21" spans="1:4" ht="15.75">
      <c r="A21" s="55">
        <v>16</v>
      </c>
      <c r="B21" s="56" t="s">
        <v>20</v>
      </c>
      <c r="C21" s="67"/>
      <c r="D21" s="67"/>
    </row>
    <row r="22" spans="1:4" ht="15.75">
      <c r="A22" s="55">
        <v>17</v>
      </c>
      <c r="B22" s="56" t="s">
        <v>21</v>
      </c>
      <c r="C22" s="67"/>
      <c r="D22" s="67"/>
    </row>
    <row r="23" spans="1:4" ht="15.75">
      <c r="A23" s="55">
        <v>18</v>
      </c>
      <c r="B23" s="56" t="s">
        <v>22</v>
      </c>
      <c r="C23" s="67"/>
      <c r="D23" s="67">
        <v>5540.05</v>
      </c>
    </row>
    <row r="24" spans="1:4" ht="15.75">
      <c r="A24" s="55">
        <v>19</v>
      </c>
      <c r="B24" s="56" t="s">
        <v>23</v>
      </c>
      <c r="C24" s="67"/>
      <c r="D24" s="67"/>
    </row>
    <row r="25" spans="1:4" ht="15.75">
      <c r="A25" s="55">
        <v>20</v>
      </c>
      <c r="B25" s="56" t="s">
        <v>24</v>
      </c>
      <c r="C25" s="67"/>
      <c r="D25" s="67"/>
    </row>
    <row r="26" spans="1:4" ht="15.75">
      <c r="A26" s="55">
        <v>21</v>
      </c>
      <c r="B26" s="56" t="s">
        <v>25</v>
      </c>
      <c r="C26" s="67"/>
      <c r="D26" s="67">
        <v>6525.35</v>
      </c>
    </row>
    <row r="27" spans="1:4" ht="15.75">
      <c r="A27" s="55">
        <v>22</v>
      </c>
      <c r="B27" s="56" t="s">
        <v>26</v>
      </c>
      <c r="C27" s="67"/>
      <c r="D27" s="67"/>
    </row>
    <row r="28" spans="1:4" ht="15.75">
      <c r="A28" s="55">
        <v>23</v>
      </c>
      <c r="B28" s="56" t="s">
        <v>27</v>
      </c>
      <c r="C28" s="67"/>
      <c r="D28" s="67"/>
    </row>
    <row r="29" spans="1:4" ht="15.75">
      <c r="A29" s="55">
        <v>24</v>
      </c>
      <c r="B29" s="56" t="s">
        <v>28</v>
      </c>
      <c r="C29" s="67"/>
      <c r="D29" s="67"/>
    </row>
    <row r="30" spans="1:4" ht="15.75">
      <c r="A30" s="55">
        <v>25</v>
      </c>
      <c r="B30" s="56" t="s">
        <v>29</v>
      </c>
      <c r="C30" s="67"/>
      <c r="D30" s="67"/>
    </row>
    <row r="31" spans="1:4" ht="15.75">
      <c r="A31" s="55">
        <v>26</v>
      </c>
      <c r="B31" s="56" t="s">
        <v>30</v>
      </c>
      <c r="C31" s="67"/>
      <c r="D31" s="67"/>
    </row>
    <row r="32" spans="1:4" ht="15.75">
      <c r="A32" s="55">
        <v>27</v>
      </c>
      <c r="B32" s="56" t="s">
        <v>40</v>
      </c>
      <c r="C32" s="67"/>
      <c r="D32" s="67"/>
    </row>
    <row r="33" spans="1:4" ht="15.75">
      <c r="A33" s="55">
        <v>28</v>
      </c>
      <c r="B33" s="56" t="s">
        <v>41</v>
      </c>
      <c r="C33" s="67"/>
      <c r="D33" s="67">
        <v>2760.7</v>
      </c>
    </row>
    <row r="34" spans="1:4" ht="15.75">
      <c r="A34" s="55">
        <v>29</v>
      </c>
      <c r="B34" s="56" t="s">
        <v>42</v>
      </c>
      <c r="C34" s="67"/>
      <c r="D34" s="67"/>
    </row>
    <row r="35" spans="1:4" ht="15.75">
      <c r="A35" s="55">
        <v>30</v>
      </c>
      <c r="B35" s="56" t="s">
        <v>44</v>
      </c>
      <c r="C35" s="67"/>
      <c r="D35" s="67"/>
    </row>
    <row r="36" spans="1:4" ht="15.75">
      <c r="A36" s="55">
        <v>31</v>
      </c>
      <c r="B36" s="56" t="s">
        <v>45</v>
      </c>
      <c r="C36" s="67"/>
      <c r="D36" s="67"/>
    </row>
    <row r="37" spans="1:4" ht="15.75">
      <c r="A37" s="55">
        <v>32</v>
      </c>
      <c r="B37" s="56" t="s">
        <v>47</v>
      </c>
      <c r="C37" s="67"/>
      <c r="D37" s="67"/>
    </row>
    <row r="38" spans="1:4" ht="15.75">
      <c r="A38" s="55">
        <v>33</v>
      </c>
      <c r="B38" s="56" t="s">
        <v>60</v>
      </c>
      <c r="C38" s="67"/>
      <c r="D38" s="67"/>
    </row>
    <row r="39" spans="1:4" ht="15.75">
      <c r="A39" s="55">
        <v>34</v>
      </c>
      <c r="B39" s="56" t="s">
        <v>61</v>
      </c>
      <c r="C39" s="67"/>
      <c r="D39" s="67"/>
    </row>
    <row r="40" spans="1:4" ht="15.75">
      <c r="A40" s="57"/>
      <c r="B40" s="57" t="s">
        <v>31</v>
      </c>
      <c r="C40" s="68">
        <f>SUM(C6:C39)</f>
        <v>9722.67</v>
      </c>
      <c r="D40" s="68">
        <f>SUM(D6:D39)</f>
        <v>26837.77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1"/>
  <sheetViews>
    <sheetView workbookViewId="0" topLeftCell="A1">
      <selection activeCell="C7" sqref="C7:C40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</cols>
  <sheetData>
    <row r="3" spans="1:7" ht="15" customHeight="1">
      <c r="A3" s="76" t="s">
        <v>62</v>
      </c>
      <c r="B3" s="76"/>
      <c r="C3" s="76"/>
      <c r="D3" s="76"/>
      <c r="E3" s="76"/>
      <c r="F3" s="76"/>
      <c r="G3" s="77"/>
    </row>
    <row r="4" spans="1:6" ht="15">
      <c r="A4" s="34"/>
      <c r="B4" s="35"/>
      <c r="C4" s="35"/>
      <c r="D4" s="34"/>
      <c r="E4" s="34"/>
      <c r="F4" s="34"/>
    </row>
    <row r="5" spans="1:6" ht="15" thickBot="1">
      <c r="A5" s="36"/>
      <c r="B5" s="36"/>
      <c r="C5" s="37"/>
      <c r="D5" s="36"/>
      <c r="E5" s="38"/>
      <c r="F5" s="36"/>
    </row>
    <row r="6" spans="1:6" ht="46.5" customHeight="1" thickBot="1">
      <c r="A6" s="50" t="s">
        <v>0</v>
      </c>
      <c r="B6" s="51" t="s">
        <v>1</v>
      </c>
      <c r="C6" s="46" t="s">
        <v>32</v>
      </c>
      <c r="D6" s="46" t="s">
        <v>33</v>
      </c>
      <c r="E6" s="47" t="s">
        <v>34</v>
      </c>
      <c r="F6" s="36"/>
    </row>
    <row r="7" spans="1:9" ht="15.75">
      <c r="A7" s="55">
        <v>1</v>
      </c>
      <c r="B7" s="56" t="s">
        <v>6</v>
      </c>
      <c r="C7" s="44">
        <v>7848.53</v>
      </c>
      <c r="D7" s="44">
        <v>6280.04</v>
      </c>
      <c r="E7" s="45">
        <f>C7+D7</f>
        <v>14128.57</v>
      </c>
      <c r="F7" s="36"/>
      <c r="H7" s="3"/>
      <c r="I7" s="3"/>
    </row>
    <row r="8" spans="1:8" ht="15.75">
      <c r="A8" s="55">
        <v>2</v>
      </c>
      <c r="B8" s="56" t="s">
        <v>7</v>
      </c>
      <c r="C8" s="6">
        <v>3983.87</v>
      </c>
      <c r="D8" s="6">
        <v>3187.32</v>
      </c>
      <c r="E8" s="45">
        <f aca="true" t="shared" si="0" ref="E8:E41">C8+D8</f>
        <v>7171.1900000000005</v>
      </c>
      <c r="F8" s="36"/>
      <c r="H8" s="3"/>
    </row>
    <row r="9" spans="1:8" ht="15.75">
      <c r="A9" s="55">
        <v>3</v>
      </c>
      <c r="B9" s="56" t="s">
        <v>8</v>
      </c>
      <c r="C9" s="1">
        <v>3121.69</v>
      </c>
      <c r="D9" s="6">
        <v>2497.48</v>
      </c>
      <c r="E9" s="45">
        <f t="shared" si="0"/>
        <v>5619.17</v>
      </c>
      <c r="F9" s="36"/>
      <c r="H9" s="3"/>
    </row>
    <row r="10" spans="1:8" ht="15.75">
      <c r="A10" s="55">
        <v>4</v>
      </c>
      <c r="B10" s="56" t="s">
        <v>9</v>
      </c>
      <c r="C10" s="6">
        <v>4953.08</v>
      </c>
      <c r="D10" s="6">
        <v>3947.09</v>
      </c>
      <c r="E10" s="45">
        <f t="shared" si="0"/>
        <v>8900.17</v>
      </c>
      <c r="F10" s="36"/>
      <c r="H10" s="3"/>
    </row>
    <row r="11" spans="1:8" ht="15.75">
      <c r="A11" s="55">
        <v>5</v>
      </c>
      <c r="B11" s="56" t="s">
        <v>10</v>
      </c>
      <c r="C11" s="6">
        <v>1746.77</v>
      </c>
      <c r="D11" s="6">
        <v>1397.5</v>
      </c>
      <c r="E11" s="45">
        <f t="shared" si="0"/>
        <v>3144.27</v>
      </c>
      <c r="F11" s="36"/>
      <c r="H11" s="3"/>
    </row>
    <row r="12" spans="1:8" ht="15.75">
      <c r="A12" s="55">
        <v>6</v>
      </c>
      <c r="B12" s="56" t="s">
        <v>11</v>
      </c>
      <c r="C12" s="6">
        <v>6065.29</v>
      </c>
      <c r="D12" s="6">
        <v>4852.27</v>
      </c>
      <c r="E12" s="45">
        <f t="shared" si="0"/>
        <v>10917.560000000001</v>
      </c>
      <c r="F12" s="36"/>
      <c r="H12" s="3"/>
    </row>
    <row r="13" spans="1:8" ht="15.75">
      <c r="A13" s="55">
        <v>7</v>
      </c>
      <c r="B13" s="56" t="s">
        <v>59</v>
      </c>
      <c r="C13" s="6">
        <v>7740.51</v>
      </c>
      <c r="D13" s="6">
        <v>6193.5</v>
      </c>
      <c r="E13" s="45">
        <f t="shared" si="0"/>
        <v>13934.01</v>
      </c>
      <c r="F13" s="36"/>
      <c r="H13" s="3"/>
    </row>
    <row r="14" spans="1:8" ht="15.75">
      <c r="A14" s="55">
        <v>8</v>
      </c>
      <c r="B14" s="56" t="s">
        <v>12</v>
      </c>
      <c r="C14" s="6">
        <v>599.89</v>
      </c>
      <c r="D14" s="6">
        <v>479.92</v>
      </c>
      <c r="E14" s="45">
        <f t="shared" si="0"/>
        <v>1079.81</v>
      </c>
      <c r="F14" s="36"/>
      <c r="H14" s="3"/>
    </row>
    <row r="15" spans="1:8" ht="15.75">
      <c r="A15" s="55">
        <v>9</v>
      </c>
      <c r="B15" s="56" t="s">
        <v>13</v>
      </c>
      <c r="C15" s="6">
        <v>2805.81</v>
      </c>
      <c r="D15" s="6">
        <v>2244.74</v>
      </c>
      <c r="E15" s="45">
        <f t="shared" si="0"/>
        <v>5050.549999999999</v>
      </c>
      <c r="F15" s="36"/>
      <c r="H15" s="3"/>
    </row>
    <row r="16" spans="1:8" ht="15.75">
      <c r="A16" s="55">
        <v>10</v>
      </c>
      <c r="B16" s="56" t="s">
        <v>14</v>
      </c>
      <c r="C16" s="6">
        <v>7682.43</v>
      </c>
      <c r="D16" s="6">
        <v>6146.82</v>
      </c>
      <c r="E16" s="45">
        <f t="shared" si="0"/>
        <v>13829.25</v>
      </c>
      <c r="F16" s="36"/>
      <c r="H16" s="3"/>
    </row>
    <row r="17" spans="1:8" ht="15.75">
      <c r="A17" s="55">
        <v>11</v>
      </c>
      <c r="B17" s="56" t="s">
        <v>15</v>
      </c>
      <c r="C17" s="6">
        <v>5163.77</v>
      </c>
      <c r="D17" s="6">
        <v>4131.38</v>
      </c>
      <c r="E17" s="45">
        <f t="shared" si="0"/>
        <v>9295.150000000001</v>
      </c>
      <c r="F17" s="36"/>
      <c r="H17" s="3"/>
    </row>
    <row r="18" spans="1:8" ht="15.75">
      <c r="A18" s="55">
        <v>12</v>
      </c>
      <c r="B18" s="56" t="s">
        <v>16</v>
      </c>
      <c r="C18" s="6">
        <v>747.74</v>
      </c>
      <c r="D18" s="6">
        <v>598.3</v>
      </c>
      <c r="E18" s="45">
        <f t="shared" si="0"/>
        <v>1346.04</v>
      </c>
      <c r="F18" s="36"/>
      <c r="H18" s="3"/>
    </row>
    <row r="19" spans="1:8" ht="15.75">
      <c r="A19" s="55">
        <v>13</v>
      </c>
      <c r="B19" s="56" t="s">
        <v>17</v>
      </c>
      <c r="C19" s="6">
        <v>2815.17</v>
      </c>
      <c r="D19" s="6">
        <v>2252.39</v>
      </c>
      <c r="E19" s="45">
        <f t="shared" si="0"/>
        <v>5067.5599999999995</v>
      </c>
      <c r="F19" s="36"/>
      <c r="H19" s="3"/>
    </row>
    <row r="20" spans="1:8" ht="15.75">
      <c r="A20" s="55">
        <v>14</v>
      </c>
      <c r="B20" s="56" t="s">
        <v>18</v>
      </c>
      <c r="C20" s="6">
        <v>4368.06</v>
      </c>
      <c r="D20" s="6">
        <v>3495.12</v>
      </c>
      <c r="E20" s="45">
        <f t="shared" si="0"/>
        <v>7863.18</v>
      </c>
      <c r="F20" s="36"/>
      <c r="H20" s="3"/>
    </row>
    <row r="21" spans="1:8" ht="15.75">
      <c r="A21" s="55">
        <v>15</v>
      </c>
      <c r="B21" s="56" t="s">
        <v>19</v>
      </c>
      <c r="C21" s="6">
        <v>631.03</v>
      </c>
      <c r="D21" s="6">
        <v>504.84</v>
      </c>
      <c r="E21" s="45">
        <f t="shared" si="0"/>
        <v>1135.87</v>
      </c>
      <c r="F21" s="36"/>
      <c r="H21" s="3"/>
    </row>
    <row r="22" spans="1:8" ht="15.75">
      <c r="A22" s="55">
        <v>16</v>
      </c>
      <c r="B22" s="56" t="s">
        <v>20</v>
      </c>
      <c r="C22" s="6">
        <v>932.76</v>
      </c>
      <c r="D22" s="6">
        <v>746.16</v>
      </c>
      <c r="E22" s="45">
        <f t="shared" si="0"/>
        <v>1678.92</v>
      </c>
      <c r="F22" s="36"/>
      <c r="H22" s="3"/>
    </row>
    <row r="23" spans="1:8" ht="15.75">
      <c r="A23" s="55">
        <v>17</v>
      </c>
      <c r="B23" s="56" t="s">
        <v>21</v>
      </c>
      <c r="C23" s="6">
        <v>2851.68</v>
      </c>
      <c r="D23" s="6">
        <v>2281.45</v>
      </c>
      <c r="E23" s="45">
        <f t="shared" si="0"/>
        <v>5133.129999999999</v>
      </c>
      <c r="F23" s="36"/>
      <c r="H23" s="3"/>
    </row>
    <row r="24" spans="1:8" ht="15.75">
      <c r="A24" s="55">
        <v>18</v>
      </c>
      <c r="B24" s="56" t="s">
        <v>22</v>
      </c>
      <c r="C24" s="6">
        <v>6443.01</v>
      </c>
      <c r="D24" s="6">
        <v>5155.53</v>
      </c>
      <c r="E24" s="45">
        <f t="shared" si="0"/>
        <v>11598.54</v>
      </c>
      <c r="F24" s="36"/>
      <c r="H24" s="3"/>
    </row>
    <row r="25" spans="1:8" ht="15.75">
      <c r="A25" s="55">
        <v>19</v>
      </c>
      <c r="B25" s="56" t="s">
        <v>23</v>
      </c>
      <c r="C25" s="6">
        <v>1121.07</v>
      </c>
      <c r="D25" s="6">
        <v>896.91</v>
      </c>
      <c r="E25" s="45">
        <f t="shared" si="0"/>
        <v>2017.98</v>
      </c>
      <c r="F25" s="36"/>
      <c r="H25" s="3"/>
    </row>
    <row r="26" spans="1:8" ht="15.75">
      <c r="A26" s="55">
        <v>20</v>
      </c>
      <c r="B26" s="56" t="s">
        <v>24</v>
      </c>
      <c r="C26" s="6">
        <v>1885.38</v>
      </c>
      <c r="D26" s="6">
        <v>1508.36</v>
      </c>
      <c r="E26" s="45">
        <f t="shared" si="0"/>
        <v>3393.74</v>
      </c>
      <c r="F26" s="36"/>
      <c r="H26" s="3"/>
    </row>
    <row r="27" spans="1:8" ht="15.75">
      <c r="A27" s="55">
        <v>21</v>
      </c>
      <c r="B27" s="56" t="s">
        <v>25</v>
      </c>
      <c r="C27" s="6">
        <v>5781.78</v>
      </c>
      <c r="D27" s="6">
        <v>4626.73</v>
      </c>
      <c r="E27" s="45">
        <f t="shared" si="0"/>
        <v>10408.509999999998</v>
      </c>
      <c r="F27" s="36"/>
      <c r="H27" s="3"/>
    </row>
    <row r="28" spans="1:8" ht="15.75">
      <c r="A28" s="55">
        <v>22</v>
      </c>
      <c r="B28" s="56" t="s">
        <v>26</v>
      </c>
      <c r="C28" s="6">
        <v>138.27</v>
      </c>
      <c r="D28" s="6">
        <v>110.6</v>
      </c>
      <c r="E28" s="45">
        <f t="shared" si="0"/>
        <v>248.87</v>
      </c>
      <c r="F28" s="36"/>
      <c r="H28" s="3"/>
    </row>
    <row r="29" spans="1:8" ht="15.75">
      <c r="A29" s="55">
        <v>23</v>
      </c>
      <c r="B29" s="56" t="s">
        <v>27</v>
      </c>
      <c r="C29" s="6">
        <v>1667.09</v>
      </c>
      <c r="D29" s="6">
        <v>1333.8</v>
      </c>
      <c r="E29" s="45">
        <f t="shared" si="0"/>
        <v>3000.89</v>
      </c>
      <c r="F29" s="36"/>
      <c r="H29" s="3"/>
    </row>
    <row r="30" spans="1:8" ht="15.75">
      <c r="A30" s="55">
        <v>24</v>
      </c>
      <c r="B30" s="56" t="s">
        <v>28</v>
      </c>
      <c r="C30" s="6">
        <v>2783.35</v>
      </c>
      <c r="D30" s="6">
        <v>2226.74</v>
      </c>
      <c r="E30" s="45">
        <f t="shared" si="0"/>
        <v>5010.09</v>
      </c>
      <c r="F30" s="36"/>
      <c r="H30" s="3"/>
    </row>
    <row r="31" spans="1:8" ht="15.75">
      <c r="A31" s="55">
        <v>25</v>
      </c>
      <c r="B31" s="56" t="s">
        <v>29</v>
      </c>
      <c r="C31" s="6">
        <v>6883.63</v>
      </c>
      <c r="D31" s="6">
        <v>5507.07</v>
      </c>
      <c r="E31" s="45">
        <f t="shared" si="0"/>
        <v>12390.7</v>
      </c>
      <c r="F31" s="36"/>
      <c r="H31" s="3"/>
    </row>
    <row r="32" spans="1:8" ht="15.75">
      <c r="A32" s="55">
        <v>26</v>
      </c>
      <c r="B32" s="56" t="s">
        <v>30</v>
      </c>
      <c r="C32" s="6">
        <v>8834.17</v>
      </c>
      <c r="D32" s="6">
        <v>7068.44</v>
      </c>
      <c r="E32" s="45">
        <f t="shared" si="0"/>
        <v>15902.61</v>
      </c>
      <c r="F32" s="36"/>
      <c r="H32" s="3"/>
    </row>
    <row r="33" spans="1:8" ht="15.75">
      <c r="A33" s="55">
        <v>27</v>
      </c>
      <c r="B33" s="56" t="s">
        <v>40</v>
      </c>
      <c r="C33" s="6">
        <v>817.66</v>
      </c>
      <c r="D33" s="6">
        <v>654.21</v>
      </c>
      <c r="E33" s="45">
        <f t="shared" si="0"/>
        <v>1471.87</v>
      </c>
      <c r="F33" s="36"/>
      <c r="H33" s="3"/>
    </row>
    <row r="34" spans="1:8" ht="15.75">
      <c r="A34" s="55">
        <v>28</v>
      </c>
      <c r="B34" s="56" t="s">
        <v>41</v>
      </c>
      <c r="C34" s="6">
        <v>3114.69</v>
      </c>
      <c r="D34" s="6">
        <v>2491.96</v>
      </c>
      <c r="E34" s="45">
        <f t="shared" si="0"/>
        <v>5606.65</v>
      </c>
      <c r="F34" s="36"/>
      <c r="H34" s="3"/>
    </row>
    <row r="35" spans="1:8" ht="15.75">
      <c r="A35" s="55">
        <v>29</v>
      </c>
      <c r="B35" s="56" t="s">
        <v>42</v>
      </c>
      <c r="C35" s="6">
        <v>3859.56</v>
      </c>
      <c r="D35" s="6">
        <v>3088.18</v>
      </c>
      <c r="E35" s="45">
        <f t="shared" si="0"/>
        <v>6947.74</v>
      </c>
      <c r="F35" s="36"/>
      <c r="H35" s="3"/>
    </row>
    <row r="36" spans="1:8" ht="15.75">
      <c r="A36" s="55">
        <v>30</v>
      </c>
      <c r="B36" s="56" t="s">
        <v>44</v>
      </c>
      <c r="C36" s="6">
        <v>1634.16</v>
      </c>
      <c r="D36" s="6">
        <v>1307.45</v>
      </c>
      <c r="E36" s="45">
        <f t="shared" si="0"/>
        <v>2941.61</v>
      </c>
      <c r="F36" s="36"/>
      <c r="H36" s="3"/>
    </row>
    <row r="37" spans="1:8" ht="15.75">
      <c r="A37" s="55">
        <v>31</v>
      </c>
      <c r="B37" s="56" t="s">
        <v>45</v>
      </c>
      <c r="C37" s="6">
        <v>323.31</v>
      </c>
      <c r="D37" s="6">
        <v>258.67</v>
      </c>
      <c r="E37" s="45">
        <f t="shared" si="0"/>
        <v>581.98</v>
      </c>
      <c r="F37" s="36"/>
      <c r="H37" s="3"/>
    </row>
    <row r="38" spans="1:8" ht="15.75">
      <c r="A38" s="55">
        <v>32</v>
      </c>
      <c r="B38" s="56" t="s">
        <v>47</v>
      </c>
      <c r="C38" s="6">
        <v>2094.17</v>
      </c>
      <c r="D38" s="6">
        <v>1675.65</v>
      </c>
      <c r="E38" s="45">
        <f t="shared" si="0"/>
        <v>3769.82</v>
      </c>
      <c r="F38" s="36"/>
      <c r="H38" s="3"/>
    </row>
    <row r="39" spans="1:8" ht="15.75">
      <c r="A39" s="55">
        <v>33</v>
      </c>
      <c r="B39" s="56" t="s">
        <v>60</v>
      </c>
      <c r="C39" s="6">
        <v>40.53</v>
      </c>
      <c r="D39" s="6">
        <v>32.45</v>
      </c>
      <c r="E39" s="45">
        <f t="shared" si="0"/>
        <v>72.98</v>
      </c>
      <c r="F39" s="36"/>
      <c r="H39" s="3"/>
    </row>
    <row r="40" spans="1:8" ht="15.75">
      <c r="A40" s="55">
        <v>34</v>
      </c>
      <c r="B40" s="56" t="s">
        <v>61</v>
      </c>
      <c r="C40" s="6">
        <v>674.09</v>
      </c>
      <c r="D40" s="6">
        <v>539.31</v>
      </c>
      <c r="E40" s="45">
        <f t="shared" si="0"/>
        <v>1213.4</v>
      </c>
      <c r="F40" s="36"/>
      <c r="H40" s="3"/>
    </row>
    <row r="41" spans="1:8" ht="15.75">
      <c r="A41" s="57"/>
      <c r="B41" s="57" t="s">
        <v>31</v>
      </c>
      <c r="C41" s="69">
        <f>SUM(C7:C40)</f>
        <v>112154.00000000001</v>
      </c>
      <c r="D41" s="69">
        <f>SUM(D7:D40)</f>
        <v>89718.37999999999</v>
      </c>
      <c r="E41" s="45">
        <f t="shared" si="0"/>
        <v>201872.38</v>
      </c>
      <c r="F41" s="36"/>
      <c r="H41" s="3"/>
    </row>
    <row r="43" ht="12.75">
      <c r="D43" s="3"/>
    </row>
    <row r="44" ht="12.75">
      <c r="C44" s="3"/>
    </row>
    <row r="45" ht="12.75">
      <c r="E45" s="3"/>
    </row>
    <row r="51" ht="12.75">
      <c r="C51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49"/>
  <sheetViews>
    <sheetView tabSelected="1" workbookViewId="0" topLeftCell="A4">
      <selection activeCell="C45" sqref="C45"/>
    </sheetView>
  </sheetViews>
  <sheetFormatPr defaultColWidth="9.140625" defaultRowHeight="12.75"/>
  <cols>
    <col min="2" max="2" width="29.140625" style="0" customWidth="1"/>
    <col min="3" max="3" width="12.57421875" style="0" customWidth="1"/>
    <col min="4" max="5" width="13.140625" style="0" bestFit="1" customWidth="1"/>
  </cols>
  <sheetData>
    <row r="3" spans="1:7" ht="15">
      <c r="A3" s="78" t="s">
        <v>63</v>
      </c>
      <c r="B3" s="78"/>
      <c r="C3" s="78"/>
      <c r="D3" s="78"/>
      <c r="E3" s="78"/>
      <c r="F3" s="78"/>
      <c r="G3" s="78"/>
    </row>
    <row r="4" spans="1:7" ht="14.25">
      <c r="A4" s="36"/>
      <c r="B4" s="36"/>
      <c r="C4" s="38"/>
      <c r="D4" s="1"/>
      <c r="E4" s="1"/>
      <c r="F4" s="36"/>
      <c r="G4" s="36"/>
    </row>
    <row r="5" spans="1:7" ht="30">
      <c r="A5" s="50" t="s">
        <v>0</v>
      </c>
      <c r="B5" s="51" t="s">
        <v>1</v>
      </c>
      <c r="C5" s="43" t="s">
        <v>35</v>
      </c>
      <c r="D5" s="1"/>
      <c r="E5" s="1"/>
      <c r="F5" s="36"/>
      <c r="G5" s="36"/>
    </row>
    <row r="6" spans="1:7" ht="15.75">
      <c r="A6" s="55">
        <v>1</v>
      </c>
      <c r="B6" s="56" t="s">
        <v>6</v>
      </c>
      <c r="C6" s="75">
        <v>32920.39</v>
      </c>
      <c r="D6" s="1"/>
      <c r="E6" s="1"/>
      <c r="F6" s="36"/>
      <c r="G6" s="36"/>
    </row>
    <row r="7" spans="1:7" ht="15.75">
      <c r="A7" s="55">
        <v>2</v>
      </c>
      <c r="B7" s="56" t="s">
        <v>7</v>
      </c>
      <c r="C7" s="75">
        <v>20554.56</v>
      </c>
      <c r="D7" s="1"/>
      <c r="E7" s="1"/>
      <c r="F7" s="36"/>
      <c r="G7" s="36"/>
    </row>
    <row r="8" spans="1:7" ht="15.75">
      <c r="A8" s="55">
        <v>3</v>
      </c>
      <c r="B8" s="56" t="s">
        <v>8</v>
      </c>
      <c r="C8" s="75">
        <v>3576.75</v>
      </c>
      <c r="D8" s="1"/>
      <c r="E8" s="1"/>
      <c r="F8" s="36"/>
      <c r="G8" s="36"/>
    </row>
    <row r="9" spans="1:7" ht="15.75">
      <c r="A9" s="55">
        <v>4</v>
      </c>
      <c r="B9" s="56" t="s">
        <v>9</v>
      </c>
      <c r="C9" s="75">
        <v>1294.29</v>
      </c>
      <c r="D9" s="1"/>
      <c r="E9" s="1"/>
      <c r="F9" s="36"/>
      <c r="G9" s="36"/>
    </row>
    <row r="10" spans="1:7" ht="15.75">
      <c r="A10" s="55">
        <v>5</v>
      </c>
      <c r="B10" s="56" t="s">
        <v>10</v>
      </c>
      <c r="C10" s="75">
        <v>1059.18</v>
      </c>
      <c r="D10" s="1"/>
      <c r="E10" s="1"/>
      <c r="F10" s="36"/>
      <c r="G10" s="36"/>
    </row>
    <row r="11" spans="1:7" ht="15.75">
      <c r="A11" s="55">
        <v>6</v>
      </c>
      <c r="B11" s="56" t="s">
        <v>11</v>
      </c>
      <c r="C11" s="75">
        <v>49528.45</v>
      </c>
      <c r="D11" s="1"/>
      <c r="E11" s="1"/>
      <c r="F11" s="36"/>
      <c r="G11" s="36"/>
    </row>
    <row r="12" spans="1:7" ht="15.75">
      <c r="A12" s="55">
        <v>7</v>
      </c>
      <c r="B12" s="56" t="s">
        <v>59</v>
      </c>
      <c r="C12" s="75">
        <v>22748.88</v>
      </c>
      <c r="D12" s="1"/>
      <c r="E12" s="1"/>
      <c r="F12" s="36"/>
      <c r="G12" s="36"/>
    </row>
    <row r="13" spans="1:7" ht="15.75">
      <c r="A13" s="55">
        <v>8</v>
      </c>
      <c r="B13" s="56" t="s">
        <v>12</v>
      </c>
      <c r="C13" s="75">
        <v>33427.14</v>
      </c>
      <c r="D13" s="1"/>
      <c r="E13" s="1"/>
      <c r="F13" s="36"/>
      <c r="G13" s="36"/>
    </row>
    <row r="14" spans="1:7" ht="15.75">
      <c r="A14" s="55">
        <v>9</v>
      </c>
      <c r="B14" s="56" t="s">
        <v>13</v>
      </c>
      <c r="C14" s="75">
        <v>13969.63</v>
      </c>
      <c r="D14" s="1"/>
      <c r="E14" s="1"/>
      <c r="F14" s="36"/>
      <c r="G14" s="36"/>
    </row>
    <row r="15" spans="1:7" ht="15.75">
      <c r="A15" s="55">
        <v>10</v>
      </c>
      <c r="B15" s="56" t="s">
        <v>14</v>
      </c>
      <c r="C15" s="75">
        <v>30058.18</v>
      </c>
      <c r="D15" s="1"/>
      <c r="E15" s="1"/>
      <c r="F15" s="36"/>
      <c r="G15" s="36"/>
    </row>
    <row r="16" spans="1:7" ht="15.75">
      <c r="A16" s="55">
        <v>11</v>
      </c>
      <c r="B16" s="56" t="s">
        <v>15</v>
      </c>
      <c r="C16" s="75">
        <v>13463.91</v>
      </c>
      <c r="D16" s="1"/>
      <c r="E16" s="1"/>
      <c r="F16" s="36"/>
      <c r="G16" s="36"/>
    </row>
    <row r="17" spans="1:7" ht="15.75">
      <c r="A17" s="55">
        <v>12</v>
      </c>
      <c r="B17" s="56" t="s">
        <v>16</v>
      </c>
      <c r="C17" s="75">
        <v>3674.76</v>
      </c>
      <c r="D17" s="1"/>
      <c r="E17" s="1"/>
      <c r="F17" s="36"/>
      <c r="G17" s="36"/>
    </row>
    <row r="18" spans="1:7" ht="15.75">
      <c r="A18" s="55">
        <v>13</v>
      </c>
      <c r="B18" s="56" t="s">
        <v>17</v>
      </c>
      <c r="C18" s="75">
        <v>18732.3</v>
      </c>
      <c r="D18" s="1"/>
      <c r="E18" s="1"/>
      <c r="F18" s="36"/>
      <c r="G18" s="36"/>
    </row>
    <row r="19" spans="1:7" ht="15.75">
      <c r="A19" s="55">
        <v>14</v>
      </c>
      <c r="B19" s="56" t="s">
        <v>18</v>
      </c>
      <c r="C19" s="75">
        <v>3120.37</v>
      </c>
      <c r="D19" s="1"/>
      <c r="E19" s="1"/>
      <c r="F19" s="36"/>
      <c r="G19" s="36"/>
    </row>
    <row r="20" spans="1:7" ht="15.75">
      <c r="A20" s="55">
        <v>15</v>
      </c>
      <c r="B20" s="56" t="s">
        <v>19</v>
      </c>
      <c r="C20" s="75">
        <v>704.34</v>
      </c>
      <c r="D20" s="1"/>
      <c r="E20" s="1"/>
      <c r="F20" s="36"/>
      <c r="G20" s="36"/>
    </row>
    <row r="21" spans="1:7" ht="15.75">
      <c r="A21" s="55">
        <v>16</v>
      </c>
      <c r="B21" s="56" t="s">
        <v>20</v>
      </c>
      <c r="C21" s="75">
        <v>2162.08</v>
      </c>
      <c r="D21" s="1"/>
      <c r="E21" s="1"/>
      <c r="F21" s="36"/>
      <c r="G21" s="36"/>
    </row>
    <row r="22" spans="1:7" ht="15.75">
      <c r="A22" s="55">
        <v>17</v>
      </c>
      <c r="B22" s="56" t="s">
        <v>21</v>
      </c>
      <c r="C22" s="75">
        <v>6885.88</v>
      </c>
      <c r="D22" s="1"/>
      <c r="E22" s="1"/>
      <c r="F22" s="36"/>
      <c r="G22" s="36"/>
    </row>
    <row r="23" spans="1:7" ht="15.75">
      <c r="A23" s="55">
        <v>18</v>
      </c>
      <c r="B23" s="56" t="s">
        <v>22</v>
      </c>
      <c r="C23" s="75">
        <v>26522.8</v>
      </c>
      <c r="D23" s="1"/>
      <c r="E23" s="1"/>
      <c r="F23" s="36"/>
      <c r="G23" s="36"/>
    </row>
    <row r="24" spans="1:7" ht="15.75">
      <c r="A24" s="55">
        <v>19</v>
      </c>
      <c r="B24" s="56" t="s">
        <v>23</v>
      </c>
      <c r="C24" s="75">
        <v>2073.25</v>
      </c>
      <c r="D24" s="1"/>
      <c r="E24" s="1"/>
      <c r="F24" s="36"/>
      <c r="G24" s="36"/>
    </row>
    <row r="25" spans="1:7" ht="15.75">
      <c r="A25" s="55">
        <v>20</v>
      </c>
      <c r="B25" s="56" t="s">
        <v>24</v>
      </c>
      <c r="C25" s="75">
        <v>2687.86</v>
      </c>
      <c r="D25" s="1"/>
      <c r="E25" s="1"/>
      <c r="F25" s="36"/>
      <c r="G25" s="36"/>
    </row>
    <row r="26" spans="1:7" ht="15.75">
      <c r="A26" s="55">
        <v>21</v>
      </c>
      <c r="B26" s="56" t="s">
        <v>25</v>
      </c>
      <c r="C26" s="75">
        <v>22357.29</v>
      </c>
      <c r="D26" s="1"/>
      <c r="E26" s="1"/>
      <c r="F26" s="36"/>
      <c r="G26" s="36"/>
    </row>
    <row r="27" spans="1:7" ht="15.75">
      <c r="A27" s="55">
        <v>22</v>
      </c>
      <c r="B27" s="56" t="s">
        <v>26</v>
      </c>
      <c r="C27" s="75">
        <v>17487.14</v>
      </c>
      <c r="D27" s="1"/>
      <c r="E27" s="1"/>
      <c r="F27" s="36"/>
      <c r="G27" s="36"/>
    </row>
    <row r="28" spans="1:7" ht="15.75">
      <c r="A28" s="55">
        <v>23</v>
      </c>
      <c r="B28" s="56" t="s">
        <v>27</v>
      </c>
      <c r="C28" s="75">
        <v>5062.63</v>
      </c>
      <c r="D28" s="1"/>
      <c r="E28" s="1"/>
      <c r="F28" s="36"/>
      <c r="G28" s="36"/>
    </row>
    <row r="29" spans="1:7" ht="15.75">
      <c r="A29" s="55">
        <v>24</v>
      </c>
      <c r="B29" s="56" t="s">
        <v>28</v>
      </c>
      <c r="C29" s="75">
        <v>5368.02</v>
      </c>
      <c r="D29" s="1"/>
      <c r="E29" s="1"/>
      <c r="F29" s="36"/>
      <c r="G29" s="36"/>
    </row>
    <row r="30" spans="1:7" ht="15.75">
      <c r="A30" s="55">
        <v>25</v>
      </c>
      <c r="B30" s="56" t="s">
        <v>29</v>
      </c>
      <c r="C30" s="75">
        <v>11952.23</v>
      </c>
      <c r="D30" s="1"/>
      <c r="E30" s="1"/>
      <c r="F30" s="36"/>
      <c r="G30" s="36"/>
    </row>
    <row r="31" spans="1:7" ht="15.75">
      <c r="A31" s="55">
        <v>26</v>
      </c>
      <c r="B31" s="56" t="s">
        <v>30</v>
      </c>
      <c r="C31" s="75">
        <v>13873.36</v>
      </c>
      <c r="D31" s="1"/>
      <c r="E31" s="1"/>
      <c r="F31" s="36"/>
      <c r="G31" s="36"/>
    </row>
    <row r="32" spans="1:7" ht="15.75">
      <c r="A32" s="55">
        <v>27</v>
      </c>
      <c r="B32" s="56" t="s">
        <v>40</v>
      </c>
      <c r="C32" s="75">
        <v>658.44</v>
      </c>
      <c r="D32" s="1"/>
      <c r="E32" s="1"/>
      <c r="F32" s="36"/>
      <c r="G32" s="36"/>
    </row>
    <row r="33" spans="1:7" ht="15.75">
      <c r="A33" s="55">
        <v>28</v>
      </c>
      <c r="B33" s="56" t="s">
        <v>41</v>
      </c>
      <c r="C33" s="75">
        <v>9152.26</v>
      </c>
      <c r="D33" s="1"/>
      <c r="E33" s="1"/>
      <c r="F33" s="36"/>
      <c r="G33" s="36"/>
    </row>
    <row r="34" spans="1:7" ht="15.75">
      <c r="A34" s="55">
        <v>29</v>
      </c>
      <c r="B34" s="56" t="s">
        <v>42</v>
      </c>
      <c r="C34" s="75">
        <v>4824.64</v>
      </c>
      <c r="D34" s="1"/>
      <c r="E34" s="1"/>
      <c r="F34" s="36"/>
      <c r="G34" s="36"/>
    </row>
    <row r="35" spans="1:7" ht="15.75">
      <c r="A35" s="55">
        <v>30</v>
      </c>
      <c r="B35" s="56" t="s">
        <v>44</v>
      </c>
      <c r="C35" s="75">
        <v>2345.89</v>
      </c>
      <c r="D35" s="1"/>
      <c r="E35" s="1"/>
      <c r="F35" s="36"/>
      <c r="G35" s="36"/>
    </row>
    <row r="36" spans="1:7" ht="15.75">
      <c r="A36" s="55">
        <v>31</v>
      </c>
      <c r="B36" s="56" t="s">
        <v>45</v>
      </c>
      <c r="C36" s="75">
        <v>596.63</v>
      </c>
      <c r="D36" s="1"/>
      <c r="E36" s="1"/>
      <c r="F36" s="36"/>
      <c r="G36" s="36"/>
    </row>
    <row r="37" spans="1:7" ht="15.75">
      <c r="A37" s="55">
        <v>32</v>
      </c>
      <c r="B37" s="56" t="s">
        <v>47</v>
      </c>
      <c r="C37" s="75">
        <v>918.9</v>
      </c>
      <c r="D37" s="1"/>
      <c r="E37" s="1"/>
      <c r="F37" s="36"/>
      <c r="G37" s="36"/>
    </row>
    <row r="38" spans="1:7" ht="15.75">
      <c r="A38" s="55">
        <v>33</v>
      </c>
      <c r="B38" s="56" t="s">
        <v>60</v>
      </c>
      <c r="C38" s="75">
        <v>338.25</v>
      </c>
      <c r="D38" s="1"/>
      <c r="E38" s="1"/>
      <c r="F38" s="36"/>
      <c r="G38" s="36"/>
    </row>
    <row r="39" spans="1:7" ht="15.75">
      <c r="A39" s="55">
        <v>34</v>
      </c>
      <c r="B39" s="56" t="s">
        <v>61</v>
      </c>
      <c r="C39" s="75">
        <v>3052.2</v>
      </c>
      <c r="D39" s="1"/>
      <c r="E39" s="1"/>
      <c r="F39" s="36"/>
      <c r="G39" s="36"/>
    </row>
    <row r="40" spans="1:7" ht="15.75">
      <c r="A40" s="57"/>
      <c r="B40" s="57" t="s">
        <v>31</v>
      </c>
      <c r="C40" s="7">
        <f>SUM(C6:C39)</f>
        <v>387152.88000000006</v>
      </c>
      <c r="D40" s="1"/>
      <c r="E40" s="1"/>
      <c r="F40" s="36"/>
      <c r="G40" s="36"/>
    </row>
    <row r="41" spans="1:7" ht="14.25">
      <c r="A41" s="36"/>
      <c r="B41" s="36"/>
      <c r="C41" s="38"/>
      <c r="D41" s="1"/>
      <c r="E41" s="1"/>
      <c r="F41" s="36"/>
      <c r="G41" s="36"/>
    </row>
    <row r="42" spans="1:7" ht="14.25">
      <c r="A42" s="36"/>
      <c r="B42" s="36"/>
      <c r="C42" s="38"/>
      <c r="D42" s="1"/>
      <c r="E42" s="36"/>
      <c r="F42" s="36"/>
      <c r="G42" s="36"/>
    </row>
    <row r="43" ht="12.75">
      <c r="C43" s="3"/>
    </row>
    <row r="44" spans="2:4" ht="12.75">
      <c r="B44" s="3"/>
      <c r="C44" s="3"/>
      <c r="D44" s="5"/>
    </row>
    <row r="45" spans="3:4" ht="12.75">
      <c r="C45" s="3"/>
      <c r="D45" s="3"/>
    </row>
    <row r="46" spans="3:4" ht="12.75">
      <c r="C46" s="3"/>
      <c r="D46" s="3"/>
    </row>
    <row r="48" spans="3:4" ht="12.75">
      <c r="C48" s="3"/>
      <c r="D48" s="3"/>
    </row>
    <row r="49" ht="12.75">
      <c r="D49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41"/>
  <sheetViews>
    <sheetView workbookViewId="0" topLeftCell="A1">
      <selection activeCell="H34" sqref="H34"/>
    </sheetView>
  </sheetViews>
  <sheetFormatPr defaultColWidth="9.140625" defaultRowHeight="12.75"/>
  <cols>
    <col min="2" max="2" width="31.57421875" style="0" customWidth="1"/>
    <col min="3" max="3" width="13.7109375" style="0" customWidth="1"/>
  </cols>
  <sheetData>
    <row r="4" spans="1:8" ht="12.75" customHeight="1">
      <c r="A4" s="79" t="s">
        <v>64</v>
      </c>
      <c r="B4" s="79"/>
      <c r="C4" s="79"/>
      <c r="D4" s="79"/>
      <c r="E4" s="79"/>
      <c r="F4" s="79"/>
      <c r="G4" s="79"/>
      <c r="H4" s="79"/>
    </row>
    <row r="5" spans="1:8" ht="14.25">
      <c r="A5" s="36"/>
      <c r="B5" s="36"/>
      <c r="C5" s="36"/>
      <c r="D5" s="39"/>
      <c r="E5" s="36"/>
      <c r="F5" s="36"/>
      <c r="G5" s="36"/>
      <c r="H5" s="36"/>
    </row>
    <row r="6" spans="1:8" ht="30">
      <c r="A6" s="50" t="s">
        <v>0</v>
      </c>
      <c r="B6" s="51" t="s">
        <v>1</v>
      </c>
      <c r="C6" s="43" t="s">
        <v>76</v>
      </c>
      <c r="D6" s="39"/>
      <c r="E6" s="36"/>
      <c r="F6" s="36"/>
      <c r="G6" s="36"/>
      <c r="H6" s="36"/>
    </row>
    <row r="7" spans="1:8" ht="15.75">
      <c r="A7" s="55">
        <v>1</v>
      </c>
      <c r="B7" s="56" t="s">
        <v>6</v>
      </c>
      <c r="C7" s="6">
        <v>16534.74</v>
      </c>
      <c r="D7" s="36"/>
      <c r="E7" s="36"/>
      <c r="F7" s="36"/>
      <c r="G7" s="36"/>
      <c r="H7" s="36"/>
    </row>
    <row r="8" spans="1:8" ht="15.75">
      <c r="A8" s="55">
        <v>2</v>
      </c>
      <c r="B8" s="56" t="s">
        <v>7</v>
      </c>
      <c r="C8" s="6">
        <v>653.51</v>
      </c>
      <c r="D8" s="36"/>
      <c r="E8" s="36"/>
      <c r="F8" s="36"/>
      <c r="G8" s="36"/>
      <c r="H8" s="36"/>
    </row>
    <row r="9" spans="1:3" ht="15.75">
      <c r="A9" s="55">
        <v>3</v>
      </c>
      <c r="B9" s="56" t="s">
        <v>8</v>
      </c>
      <c r="C9" s="67"/>
    </row>
    <row r="10" spans="1:3" ht="15.75">
      <c r="A10" s="55">
        <v>4</v>
      </c>
      <c r="B10" s="56" t="s">
        <v>9</v>
      </c>
      <c r="C10" s="67"/>
    </row>
    <row r="11" spans="1:3" ht="15.75">
      <c r="A11" s="55">
        <v>5</v>
      </c>
      <c r="B11" s="56" t="s">
        <v>10</v>
      </c>
      <c r="C11" s="67">
        <v>274.05</v>
      </c>
    </row>
    <row r="12" spans="1:3" ht="15.75">
      <c r="A12" s="55">
        <v>6</v>
      </c>
      <c r="B12" s="56" t="s">
        <v>11</v>
      </c>
      <c r="C12" s="67">
        <v>9642.93</v>
      </c>
    </row>
    <row r="13" spans="1:3" ht="15.75">
      <c r="A13" s="55">
        <v>7</v>
      </c>
      <c r="B13" s="56" t="s">
        <v>59</v>
      </c>
      <c r="C13" s="67">
        <v>3510.88</v>
      </c>
    </row>
    <row r="14" spans="1:3" ht="15.75">
      <c r="A14" s="55">
        <v>8</v>
      </c>
      <c r="B14" s="56" t="s">
        <v>12</v>
      </c>
      <c r="C14" s="67">
        <v>36847.61</v>
      </c>
    </row>
    <row r="15" spans="1:3" ht="15.75">
      <c r="A15" s="55">
        <v>9</v>
      </c>
      <c r="B15" s="56" t="s">
        <v>13</v>
      </c>
      <c r="C15" s="67">
        <v>3714.47</v>
      </c>
    </row>
    <row r="16" spans="1:3" ht="15.75">
      <c r="A16" s="55">
        <v>10</v>
      </c>
      <c r="B16" s="56" t="s">
        <v>14</v>
      </c>
      <c r="C16" s="67">
        <v>10297.67</v>
      </c>
    </row>
    <row r="17" spans="1:3" ht="15.75">
      <c r="A17" s="55">
        <v>11</v>
      </c>
      <c r="B17" s="56" t="s">
        <v>15</v>
      </c>
      <c r="C17" s="67">
        <v>5694.37</v>
      </c>
    </row>
    <row r="18" spans="1:3" ht="15.75">
      <c r="A18" s="55">
        <v>12</v>
      </c>
      <c r="B18" s="56" t="s">
        <v>16</v>
      </c>
      <c r="C18" s="67">
        <v>471.88</v>
      </c>
    </row>
    <row r="19" spans="1:3" ht="15.75">
      <c r="A19" s="55">
        <v>13</v>
      </c>
      <c r="B19" s="56" t="s">
        <v>17</v>
      </c>
      <c r="C19" s="67">
        <v>11087.99</v>
      </c>
    </row>
    <row r="20" spans="1:3" ht="15.75">
      <c r="A20" s="55">
        <v>14</v>
      </c>
      <c r="B20" s="56" t="s">
        <v>18</v>
      </c>
      <c r="C20" s="67"/>
    </row>
    <row r="21" spans="1:3" ht="15.75">
      <c r="A21" s="55">
        <v>15</v>
      </c>
      <c r="B21" s="56" t="s">
        <v>19</v>
      </c>
      <c r="C21" s="67"/>
    </row>
    <row r="22" spans="1:3" ht="15.75">
      <c r="A22" s="55">
        <v>16</v>
      </c>
      <c r="B22" s="56" t="s">
        <v>20</v>
      </c>
      <c r="C22" s="67"/>
    </row>
    <row r="23" spans="1:3" ht="15.75">
      <c r="A23" s="55">
        <v>17</v>
      </c>
      <c r="B23" s="56" t="s">
        <v>21</v>
      </c>
      <c r="C23" s="67">
        <v>7713.88</v>
      </c>
    </row>
    <row r="24" spans="1:3" ht="15.75">
      <c r="A24" s="55">
        <v>18</v>
      </c>
      <c r="B24" s="56" t="s">
        <v>22</v>
      </c>
      <c r="C24" s="67">
        <v>3100.73</v>
      </c>
    </row>
    <row r="25" spans="1:3" ht="15.75">
      <c r="A25" s="55">
        <v>19</v>
      </c>
      <c r="B25" s="56" t="s">
        <v>23</v>
      </c>
      <c r="C25" s="67"/>
    </row>
    <row r="26" spans="1:3" ht="15.75">
      <c r="A26" s="55">
        <v>20</v>
      </c>
      <c r="B26" s="56" t="s">
        <v>24</v>
      </c>
      <c r="C26" s="67"/>
    </row>
    <row r="27" spans="1:3" ht="15.75">
      <c r="A27" s="55">
        <v>21</v>
      </c>
      <c r="B27" s="56" t="s">
        <v>25</v>
      </c>
      <c r="C27" s="67">
        <v>3019.34</v>
      </c>
    </row>
    <row r="28" spans="1:3" ht="15.75">
      <c r="A28" s="55">
        <v>22</v>
      </c>
      <c r="B28" s="56" t="s">
        <v>26</v>
      </c>
      <c r="C28" s="67">
        <v>7017.14</v>
      </c>
    </row>
    <row r="29" spans="1:3" ht="15.75">
      <c r="A29" s="55">
        <v>23</v>
      </c>
      <c r="B29" s="56" t="s">
        <v>27</v>
      </c>
      <c r="C29" s="67"/>
    </row>
    <row r="30" spans="1:3" ht="15.75">
      <c r="A30" s="55">
        <v>24</v>
      </c>
      <c r="B30" s="56" t="s">
        <v>28</v>
      </c>
      <c r="C30" s="67"/>
    </row>
    <row r="31" spans="1:3" ht="15.75">
      <c r="A31" s="55">
        <v>25</v>
      </c>
      <c r="B31" s="56" t="s">
        <v>29</v>
      </c>
      <c r="C31" s="67">
        <v>3928.03</v>
      </c>
    </row>
    <row r="32" spans="1:3" ht="15.75">
      <c r="A32" s="55">
        <v>26</v>
      </c>
      <c r="B32" s="56" t="s">
        <v>30</v>
      </c>
      <c r="C32" s="67"/>
    </row>
    <row r="33" spans="1:3" ht="15.75">
      <c r="A33" s="55">
        <v>27</v>
      </c>
      <c r="B33" s="56" t="s">
        <v>40</v>
      </c>
      <c r="C33" s="67"/>
    </row>
    <row r="34" spans="1:3" ht="15.75">
      <c r="A34" s="55">
        <v>28</v>
      </c>
      <c r="B34" s="56" t="s">
        <v>41</v>
      </c>
      <c r="C34" s="67">
        <v>1916.35</v>
      </c>
    </row>
    <row r="35" spans="1:3" ht="15.75">
      <c r="A35" s="55">
        <v>29</v>
      </c>
      <c r="B35" s="56" t="s">
        <v>42</v>
      </c>
      <c r="C35" s="67">
        <v>2590.01</v>
      </c>
    </row>
    <row r="36" spans="1:3" ht="15.75">
      <c r="A36" s="55">
        <v>30</v>
      </c>
      <c r="B36" s="56" t="s">
        <v>44</v>
      </c>
      <c r="C36" s="67">
        <v>551.59</v>
      </c>
    </row>
    <row r="37" spans="1:3" ht="15.75">
      <c r="A37" s="55">
        <v>31</v>
      </c>
      <c r="B37" s="56" t="s">
        <v>45</v>
      </c>
      <c r="C37" s="67"/>
    </row>
    <row r="38" spans="1:3" ht="15.75">
      <c r="A38" s="55">
        <v>32</v>
      </c>
      <c r="B38" s="56" t="s">
        <v>47</v>
      </c>
      <c r="C38" s="67"/>
    </row>
    <row r="39" spans="1:3" ht="15.75">
      <c r="A39" s="55">
        <v>33</v>
      </c>
      <c r="B39" s="56" t="s">
        <v>60</v>
      </c>
      <c r="C39" s="67"/>
    </row>
    <row r="40" spans="1:3" ht="15.75">
      <c r="A40" s="55">
        <v>34</v>
      </c>
      <c r="B40" s="56" t="s">
        <v>61</v>
      </c>
      <c r="C40" s="67"/>
    </row>
    <row r="41" spans="1:3" ht="15.75">
      <c r="A41" s="57"/>
      <c r="B41" s="57" t="s">
        <v>31</v>
      </c>
      <c r="C41" s="68">
        <f>SUM(C7:C40)</f>
        <v>128567.17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2"/>
  <sheetViews>
    <sheetView workbookViewId="0" topLeftCell="A1">
      <selection activeCell="D12" sqref="D12"/>
    </sheetView>
  </sheetViews>
  <sheetFormatPr defaultColWidth="9.140625" defaultRowHeight="12.75"/>
  <cols>
    <col min="2" max="2" width="27.8515625" style="0" customWidth="1"/>
    <col min="3" max="3" width="11.00390625" style="0" customWidth="1"/>
    <col min="4" max="4" width="13.140625" style="0" bestFit="1" customWidth="1"/>
    <col min="5" max="5" width="16.140625" style="0" bestFit="1" customWidth="1"/>
  </cols>
  <sheetData>
    <row r="3" spans="1:7" ht="12.75" customHeight="1">
      <c r="A3" s="79" t="s">
        <v>82</v>
      </c>
      <c r="B3" s="79"/>
      <c r="C3" s="79"/>
      <c r="D3" s="79"/>
      <c r="E3" s="79"/>
      <c r="F3" s="79"/>
      <c r="G3" s="79"/>
    </row>
    <row r="4" spans="1:7" ht="15">
      <c r="A4" s="80"/>
      <c r="B4" s="80"/>
      <c r="C4" s="41" t="s">
        <v>36</v>
      </c>
      <c r="D4" s="1"/>
      <c r="E4" s="36"/>
      <c r="F4" s="36"/>
      <c r="G4" s="36"/>
    </row>
    <row r="5" spans="1:7" ht="15.75">
      <c r="A5" s="50" t="s">
        <v>0</v>
      </c>
      <c r="B5" s="51" t="s">
        <v>1</v>
      </c>
      <c r="C5" s="42" t="s">
        <v>37</v>
      </c>
      <c r="D5" s="42" t="s">
        <v>38</v>
      </c>
      <c r="E5" s="43" t="s">
        <v>39</v>
      </c>
      <c r="F5" s="36"/>
      <c r="G5" s="36"/>
    </row>
    <row r="6" spans="1:7" ht="15.75">
      <c r="A6" s="55">
        <v>1</v>
      </c>
      <c r="B6" s="56" t="s">
        <v>6</v>
      </c>
      <c r="C6" s="6">
        <v>27104.7</v>
      </c>
      <c r="D6" s="6">
        <v>57554.62</v>
      </c>
      <c r="E6" s="7">
        <f>C6+D6</f>
        <v>84659.32</v>
      </c>
      <c r="F6" s="36"/>
      <c r="G6" s="36"/>
    </row>
    <row r="7" spans="1:7" ht="15.75">
      <c r="A7" s="55">
        <v>2</v>
      </c>
      <c r="B7" s="56" t="s">
        <v>7</v>
      </c>
      <c r="C7" s="6">
        <f>3360.7+1308.67</f>
        <v>4669.37</v>
      </c>
      <c r="D7" s="6">
        <f>9059.95+3592.52</f>
        <v>12652.470000000001</v>
      </c>
      <c r="E7" s="7">
        <f aca="true" t="shared" si="0" ref="E7:E40">C7+D7</f>
        <v>17321.84</v>
      </c>
      <c r="F7" s="36"/>
      <c r="G7" s="36"/>
    </row>
    <row r="8" spans="1:7" ht="15.75">
      <c r="A8" s="55">
        <v>3</v>
      </c>
      <c r="B8" s="56" t="s">
        <v>8</v>
      </c>
      <c r="C8" s="6">
        <v>368.84</v>
      </c>
      <c r="D8" s="6">
        <v>643.52</v>
      </c>
      <c r="E8" s="7">
        <f t="shared" si="0"/>
        <v>1012.3599999999999</v>
      </c>
      <c r="F8" s="36"/>
      <c r="G8" s="36"/>
    </row>
    <row r="9" spans="1:7" ht="15.75">
      <c r="A9" s="55">
        <v>4</v>
      </c>
      <c r="B9" s="56" t="s">
        <v>9</v>
      </c>
      <c r="C9" s="6">
        <v>775.94</v>
      </c>
      <c r="D9" s="6">
        <v>3233.13</v>
      </c>
      <c r="E9" s="7">
        <f t="shared" si="0"/>
        <v>4009.07</v>
      </c>
      <c r="F9" s="36"/>
      <c r="G9" s="36"/>
    </row>
    <row r="10" spans="1:7" ht="15.75">
      <c r="A10" s="55">
        <v>5</v>
      </c>
      <c r="B10" s="56" t="s">
        <v>10</v>
      </c>
      <c r="C10" s="6">
        <v>1637.69</v>
      </c>
      <c r="D10" s="6">
        <v>2945.08</v>
      </c>
      <c r="E10" s="7">
        <f t="shared" si="0"/>
        <v>4582.77</v>
      </c>
      <c r="F10" s="36"/>
      <c r="G10" s="36"/>
    </row>
    <row r="11" spans="1:7" ht="15.75">
      <c r="A11" s="55">
        <v>6</v>
      </c>
      <c r="B11" s="56" t="s">
        <v>11</v>
      </c>
      <c r="C11" s="6">
        <f>9987.19+1716.26+7160.98</f>
        <v>18864.43</v>
      </c>
      <c r="D11" s="6">
        <f>21805.1+6743.03+11747.02</f>
        <v>40295.149999999994</v>
      </c>
      <c r="E11" s="7">
        <f t="shared" si="0"/>
        <v>59159.579999999994</v>
      </c>
      <c r="F11" s="36"/>
      <c r="G11" s="36"/>
    </row>
    <row r="12" spans="1:7" ht="15.75">
      <c r="A12" s="55">
        <v>7</v>
      </c>
      <c r="B12" s="56" t="s">
        <v>59</v>
      </c>
      <c r="C12" s="6">
        <f>200.52+4824.09+326.52+657.62+3466+304.61+284.79</f>
        <v>10064.150000000001</v>
      </c>
      <c r="D12" s="6">
        <f>2692.43+5736.02+1288.72+1893.36+4543.06+1141.6+1473.21</f>
        <v>18768.399999999998</v>
      </c>
      <c r="E12" s="7">
        <f t="shared" si="0"/>
        <v>28832.55</v>
      </c>
      <c r="F12" s="36"/>
      <c r="G12" s="36"/>
    </row>
    <row r="13" spans="1:7" ht="15.75">
      <c r="A13" s="55">
        <v>8</v>
      </c>
      <c r="B13" s="56" t="s">
        <v>12</v>
      </c>
      <c r="C13" s="6">
        <v>38438.49</v>
      </c>
      <c r="D13" s="6">
        <v>69318.75</v>
      </c>
      <c r="E13" s="7">
        <f t="shared" si="0"/>
        <v>107757.23999999999</v>
      </c>
      <c r="F13" s="36"/>
      <c r="G13" s="36"/>
    </row>
    <row r="14" spans="1:7" ht="15.75">
      <c r="A14" s="55">
        <v>9</v>
      </c>
      <c r="B14" s="56" t="s">
        <v>13</v>
      </c>
      <c r="C14" s="6">
        <f>12691.61+819.09</f>
        <v>13510.7</v>
      </c>
      <c r="D14" s="6">
        <f>28156.82+3481.18</f>
        <v>31638</v>
      </c>
      <c r="E14" s="7">
        <f t="shared" si="0"/>
        <v>45148.7</v>
      </c>
      <c r="F14" s="36"/>
      <c r="G14" s="36"/>
    </row>
    <row r="15" spans="1:7" ht="15.75">
      <c r="A15" s="55">
        <v>10</v>
      </c>
      <c r="B15" s="56" t="s">
        <v>14</v>
      </c>
      <c r="C15" s="6">
        <f>1185.9+3153.16+7183.32</f>
        <v>11522.38</v>
      </c>
      <c r="D15" s="6">
        <f>3551.41+5125.66+10977.27</f>
        <v>19654.34</v>
      </c>
      <c r="E15" s="7">
        <f t="shared" si="0"/>
        <v>31176.72</v>
      </c>
      <c r="F15" s="36"/>
      <c r="G15" s="36"/>
    </row>
    <row r="16" spans="1:7" ht="15.75">
      <c r="A16" s="55">
        <v>11</v>
      </c>
      <c r="B16" s="56" t="s">
        <v>15</v>
      </c>
      <c r="C16" s="6">
        <v>11594.41</v>
      </c>
      <c r="D16" s="6">
        <v>23060.34</v>
      </c>
      <c r="E16" s="7">
        <f t="shared" si="0"/>
        <v>34654.75</v>
      </c>
      <c r="F16" s="36"/>
      <c r="G16" s="36"/>
    </row>
    <row r="17" spans="1:7" ht="15.75">
      <c r="A17" s="55">
        <v>12</v>
      </c>
      <c r="B17" s="56" t="s">
        <v>16</v>
      </c>
      <c r="C17" s="6">
        <v>3809.2</v>
      </c>
      <c r="D17" s="6">
        <v>7308.98</v>
      </c>
      <c r="E17" s="7">
        <f t="shared" si="0"/>
        <v>11118.18</v>
      </c>
      <c r="F17" s="36"/>
      <c r="G17" s="36"/>
    </row>
    <row r="18" spans="1:7" ht="15.75">
      <c r="A18" s="55">
        <v>13</v>
      </c>
      <c r="B18" s="56" t="s">
        <v>17</v>
      </c>
      <c r="C18" s="6">
        <v>6623.67</v>
      </c>
      <c r="D18" s="6">
        <v>18951.52</v>
      </c>
      <c r="E18" s="7">
        <f t="shared" si="0"/>
        <v>25575.190000000002</v>
      </c>
      <c r="F18" s="36"/>
      <c r="G18" s="36"/>
    </row>
    <row r="19" spans="1:7" ht="15.75">
      <c r="A19" s="55">
        <v>14</v>
      </c>
      <c r="B19" s="56" t="s">
        <v>18</v>
      </c>
      <c r="C19" s="6"/>
      <c r="D19" s="6"/>
      <c r="E19" s="7">
        <f t="shared" si="0"/>
        <v>0</v>
      </c>
      <c r="F19" s="36"/>
      <c r="G19" s="36"/>
    </row>
    <row r="20" spans="1:7" ht="15.75">
      <c r="A20" s="55">
        <v>15</v>
      </c>
      <c r="B20" s="56" t="s">
        <v>19</v>
      </c>
      <c r="C20" s="6"/>
      <c r="D20" s="6"/>
      <c r="E20" s="7">
        <f t="shared" si="0"/>
        <v>0</v>
      </c>
      <c r="F20" s="36"/>
      <c r="G20" s="36"/>
    </row>
    <row r="21" spans="1:7" ht="15.75">
      <c r="A21" s="55">
        <v>16</v>
      </c>
      <c r="B21" s="56" t="s">
        <v>20</v>
      </c>
      <c r="C21" s="6"/>
      <c r="D21" s="6"/>
      <c r="E21" s="7">
        <f t="shared" si="0"/>
        <v>0</v>
      </c>
      <c r="F21" s="36"/>
      <c r="G21" s="36"/>
    </row>
    <row r="22" spans="1:7" ht="15.75">
      <c r="A22" s="55">
        <v>17</v>
      </c>
      <c r="B22" s="56" t="s">
        <v>21</v>
      </c>
      <c r="C22" s="6">
        <v>4637.53</v>
      </c>
      <c r="D22" s="6">
        <v>12942.52</v>
      </c>
      <c r="E22" s="7">
        <f t="shared" si="0"/>
        <v>17580.05</v>
      </c>
      <c r="F22" s="36"/>
      <c r="G22" s="36"/>
    </row>
    <row r="23" spans="1:7" ht="15.75">
      <c r="A23" s="55">
        <v>18</v>
      </c>
      <c r="B23" s="56" t="s">
        <v>22</v>
      </c>
      <c r="C23" s="6">
        <f>6822.63+35.05+6915.98</f>
        <v>13773.66</v>
      </c>
      <c r="D23" s="6">
        <f>12167.27+1902.62+11445.72</f>
        <v>25515.61</v>
      </c>
      <c r="E23" s="7">
        <f t="shared" si="0"/>
        <v>39289.270000000004</v>
      </c>
      <c r="F23" s="36"/>
      <c r="G23" s="36"/>
    </row>
    <row r="24" spans="1:7" ht="15.75">
      <c r="A24" s="55">
        <v>19</v>
      </c>
      <c r="B24" s="56" t="s">
        <v>23</v>
      </c>
      <c r="C24" s="6">
        <v>479.25</v>
      </c>
      <c r="D24" s="6">
        <v>1726.45</v>
      </c>
      <c r="E24" s="7">
        <f t="shared" si="0"/>
        <v>2205.7</v>
      </c>
      <c r="F24" s="36"/>
      <c r="G24" s="36"/>
    </row>
    <row r="25" spans="1:7" ht="15.75">
      <c r="A25" s="55">
        <v>20</v>
      </c>
      <c r="B25" s="56" t="s">
        <v>24</v>
      </c>
      <c r="C25" s="6">
        <f>35.04+182.52</f>
        <v>217.56</v>
      </c>
      <c r="D25" s="6">
        <f>977.4+672.17</f>
        <v>1649.57</v>
      </c>
      <c r="E25" s="7">
        <f t="shared" si="0"/>
        <v>1867.1299999999999</v>
      </c>
      <c r="F25" s="36"/>
      <c r="G25" s="36"/>
    </row>
    <row r="26" spans="1:7" ht="15.75">
      <c r="A26" s="55">
        <v>21</v>
      </c>
      <c r="B26" s="56" t="s">
        <v>25</v>
      </c>
      <c r="C26" s="6">
        <f>5271.7+4234.13+278.29</f>
        <v>9784.12</v>
      </c>
      <c r="D26" s="6">
        <f>10022.39+7679.21+413.69</f>
        <v>18115.289999999997</v>
      </c>
      <c r="E26" s="7">
        <f t="shared" si="0"/>
        <v>27899.409999999996</v>
      </c>
      <c r="F26" s="36"/>
      <c r="G26" s="36"/>
    </row>
    <row r="27" spans="1:7" ht="15.75">
      <c r="A27" s="55">
        <v>22</v>
      </c>
      <c r="B27" s="56" t="s">
        <v>26</v>
      </c>
      <c r="C27" s="6">
        <v>4223.77</v>
      </c>
      <c r="D27" s="6">
        <v>7134.32</v>
      </c>
      <c r="E27" s="7">
        <f t="shared" si="0"/>
        <v>11358.09</v>
      </c>
      <c r="F27" s="36"/>
      <c r="G27" s="36"/>
    </row>
    <row r="28" spans="1:7" ht="15.75">
      <c r="A28" s="55">
        <v>23</v>
      </c>
      <c r="B28" s="56" t="s">
        <v>27</v>
      </c>
      <c r="C28" s="6">
        <f>4400.55+147.43</f>
        <v>4547.9800000000005</v>
      </c>
      <c r="D28" s="6">
        <f>6014.35+1023.71</f>
        <v>7038.06</v>
      </c>
      <c r="E28" s="7">
        <f t="shared" si="0"/>
        <v>11586.04</v>
      </c>
      <c r="F28" s="36"/>
      <c r="G28" s="36"/>
    </row>
    <row r="29" spans="1:7" ht="15.75">
      <c r="A29" s="55">
        <v>24</v>
      </c>
      <c r="B29" s="56" t="s">
        <v>28</v>
      </c>
      <c r="C29" s="6"/>
      <c r="D29" s="6"/>
      <c r="E29" s="7">
        <f t="shared" si="0"/>
        <v>0</v>
      </c>
      <c r="F29" s="36"/>
      <c r="G29" s="36"/>
    </row>
    <row r="30" spans="1:7" ht="15.75">
      <c r="A30" s="55">
        <v>25</v>
      </c>
      <c r="B30" s="56" t="s">
        <v>29</v>
      </c>
      <c r="C30" s="6">
        <f>3247.46+8108.86+2632.74</f>
        <v>13989.06</v>
      </c>
      <c r="D30" s="6">
        <f>6716.88+10266.17+2579.03</f>
        <v>19562.079999999998</v>
      </c>
      <c r="E30" s="7">
        <f t="shared" si="0"/>
        <v>33551.14</v>
      </c>
      <c r="F30" s="36"/>
      <c r="G30" s="36"/>
    </row>
    <row r="31" spans="1:7" ht="15.75">
      <c r="A31" s="55">
        <v>26</v>
      </c>
      <c r="B31" s="56" t="s">
        <v>30</v>
      </c>
      <c r="C31" s="6"/>
      <c r="D31" s="6"/>
      <c r="E31" s="7">
        <f t="shared" si="0"/>
        <v>0</v>
      </c>
      <c r="F31" s="36"/>
      <c r="G31" s="36"/>
    </row>
    <row r="32" spans="1:7" ht="15.75">
      <c r="A32" s="55">
        <v>27</v>
      </c>
      <c r="B32" s="56" t="s">
        <v>40</v>
      </c>
      <c r="C32" s="6"/>
      <c r="D32" s="6"/>
      <c r="E32" s="7">
        <f t="shared" si="0"/>
        <v>0</v>
      </c>
      <c r="F32" s="36"/>
      <c r="G32" s="36"/>
    </row>
    <row r="33" spans="1:7" ht="15.75">
      <c r="A33" s="55">
        <v>28</v>
      </c>
      <c r="B33" s="56" t="s">
        <v>41</v>
      </c>
      <c r="C33" s="6">
        <f>2708.15+26.28+1146.4</f>
        <v>3880.8300000000004</v>
      </c>
      <c r="D33" s="6">
        <f>3344.71+475.86+3321.1</f>
        <v>7141.67</v>
      </c>
      <c r="E33" s="7">
        <f t="shared" si="0"/>
        <v>11022.5</v>
      </c>
      <c r="F33" s="36"/>
      <c r="G33" s="36"/>
    </row>
    <row r="34" spans="1:7" ht="15.75">
      <c r="A34" s="55">
        <v>29</v>
      </c>
      <c r="B34" s="56" t="s">
        <v>42</v>
      </c>
      <c r="C34" s="6">
        <v>5153.32</v>
      </c>
      <c r="D34" s="6">
        <v>17735.43</v>
      </c>
      <c r="E34" s="7">
        <f t="shared" si="0"/>
        <v>22888.75</v>
      </c>
      <c r="F34" s="36"/>
      <c r="G34" s="36"/>
    </row>
    <row r="35" spans="1:7" ht="15.75">
      <c r="A35" s="55">
        <v>30</v>
      </c>
      <c r="B35" s="56" t="s">
        <v>44</v>
      </c>
      <c r="C35" s="6"/>
      <c r="D35" s="6"/>
      <c r="E35" s="7">
        <f t="shared" si="0"/>
        <v>0</v>
      </c>
      <c r="F35" s="36"/>
      <c r="G35" s="36"/>
    </row>
    <row r="36" spans="1:7" ht="15.75">
      <c r="A36" s="55">
        <v>31</v>
      </c>
      <c r="B36" s="56" t="s">
        <v>45</v>
      </c>
      <c r="C36" s="6"/>
      <c r="D36" s="6"/>
      <c r="E36" s="7">
        <f t="shared" si="0"/>
        <v>0</v>
      </c>
      <c r="F36" s="36"/>
      <c r="G36" s="36"/>
    </row>
    <row r="37" spans="1:7" ht="15.75">
      <c r="A37" s="55">
        <v>32</v>
      </c>
      <c r="B37" s="56" t="s">
        <v>47</v>
      </c>
      <c r="C37" s="6"/>
      <c r="D37" s="6"/>
      <c r="E37" s="7">
        <f t="shared" si="0"/>
        <v>0</v>
      </c>
      <c r="F37" s="36"/>
      <c r="G37" s="36"/>
    </row>
    <row r="38" spans="1:7" ht="15.75">
      <c r="A38" s="55">
        <v>33</v>
      </c>
      <c r="B38" s="56" t="s">
        <v>60</v>
      </c>
      <c r="C38" s="6"/>
      <c r="D38" s="6"/>
      <c r="E38" s="7">
        <f t="shared" si="0"/>
        <v>0</v>
      </c>
      <c r="F38" s="36"/>
      <c r="G38" s="36"/>
    </row>
    <row r="39" spans="1:7" ht="15.75">
      <c r="A39" s="55">
        <v>34</v>
      </c>
      <c r="B39" s="56" t="s">
        <v>61</v>
      </c>
      <c r="C39" s="6">
        <v>261.09</v>
      </c>
      <c r="D39" s="6">
        <v>1399.59</v>
      </c>
      <c r="E39" s="7">
        <f t="shared" si="0"/>
        <v>1660.6799999999998</v>
      </c>
      <c r="F39" s="36"/>
      <c r="G39" s="36"/>
    </row>
    <row r="40" spans="1:7" ht="15.75">
      <c r="A40" s="57"/>
      <c r="B40" s="57" t="s">
        <v>31</v>
      </c>
      <c r="C40" s="6">
        <f>SUM(C6:C39)</f>
        <v>209932.14</v>
      </c>
      <c r="D40" s="6">
        <f>SUM(D6:D39)</f>
        <v>425984.89</v>
      </c>
      <c r="E40" s="7">
        <f t="shared" si="0"/>
        <v>635917.03</v>
      </c>
      <c r="F40" s="36"/>
      <c r="G40" s="36"/>
    </row>
    <row r="41" spans="1:7" ht="14.25">
      <c r="A41" s="36"/>
      <c r="B41" s="36"/>
      <c r="C41" s="36"/>
      <c r="D41" s="36"/>
      <c r="E41" s="1"/>
      <c r="F41" s="36"/>
      <c r="G41" s="36"/>
    </row>
    <row r="42" spans="1:7" ht="14.25">
      <c r="A42" s="36"/>
      <c r="B42" s="36"/>
      <c r="C42" s="36"/>
      <c r="D42" s="36"/>
      <c r="E42" s="36"/>
      <c r="F42" s="36"/>
      <c r="G42" s="36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0"/>
  <sheetViews>
    <sheetView workbookViewId="0" topLeftCell="A1">
      <selection activeCell="J25" sqref="J25"/>
    </sheetView>
  </sheetViews>
  <sheetFormatPr defaultColWidth="9.140625" defaultRowHeight="12.75"/>
  <cols>
    <col min="2" max="2" width="28.28125" style="0" customWidth="1"/>
    <col min="3" max="3" width="14.421875" style="0" customWidth="1"/>
    <col min="4" max="4" width="13.421875" style="0" bestFit="1" customWidth="1"/>
  </cols>
  <sheetData>
    <row r="3" spans="1:6" ht="15">
      <c r="A3" s="78" t="s">
        <v>65</v>
      </c>
      <c r="B3" s="78"/>
      <c r="C3" s="78"/>
      <c r="D3" s="78"/>
      <c r="E3" s="78"/>
      <c r="F3" s="78"/>
    </row>
    <row r="4" spans="1:6" ht="15">
      <c r="A4" s="81"/>
      <c r="B4" s="81"/>
      <c r="C4" s="81"/>
      <c r="D4" s="81"/>
      <c r="E4" s="81"/>
      <c r="F4" s="36"/>
    </row>
    <row r="5" spans="1:6" ht="31.5">
      <c r="A5" s="50" t="s">
        <v>0</v>
      </c>
      <c r="B5" s="51" t="s">
        <v>1</v>
      </c>
      <c r="C5" s="51" t="s">
        <v>74</v>
      </c>
      <c r="D5" s="51" t="s">
        <v>75</v>
      </c>
      <c r="E5" s="36"/>
      <c r="F5" s="36"/>
    </row>
    <row r="6" spans="1:4" ht="15.75">
      <c r="A6" s="55">
        <v>1</v>
      </c>
      <c r="B6" s="56" t="s">
        <v>6</v>
      </c>
      <c r="C6" s="67">
        <v>14520</v>
      </c>
      <c r="D6" s="67">
        <v>960</v>
      </c>
    </row>
    <row r="7" spans="1:4" ht="15.75">
      <c r="A7" s="55">
        <v>2</v>
      </c>
      <c r="B7" s="56" t="s">
        <v>7</v>
      </c>
      <c r="C7" s="67">
        <v>2700</v>
      </c>
      <c r="D7" s="67"/>
    </row>
    <row r="8" spans="1:4" ht="15.75">
      <c r="A8" s="55">
        <v>3</v>
      </c>
      <c r="B8" s="56" t="s">
        <v>8</v>
      </c>
      <c r="C8" s="67">
        <v>120</v>
      </c>
      <c r="D8" s="67"/>
    </row>
    <row r="9" spans="1:4" ht="15.75">
      <c r="A9" s="55">
        <v>4</v>
      </c>
      <c r="B9" s="56" t="s">
        <v>9</v>
      </c>
      <c r="C9" s="67">
        <v>360</v>
      </c>
      <c r="D9" s="67"/>
    </row>
    <row r="10" spans="1:4" ht="15.75">
      <c r="A10" s="55">
        <v>5</v>
      </c>
      <c r="B10" s="56" t="s">
        <v>10</v>
      </c>
      <c r="C10" s="67">
        <v>480</v>
      </c>
      <c r="D10" s="67"/>
    </row>
    <row r="11" spans="1:4" ht="15.75">
      <c r="A11" s="55">
        <v>6</v>
      </c>
      <c r="B11" s="56" t="s">
        <v>11</v>
      </c>
      <c r="C11" s="67">
        <v>8640</v>
      </c>
      <c r="D11" s="67"/>
    </row>
    <row r="12" spans="1:4" ht="15.75">
      <c r="A12" s="55">
        <v>7</v>
      </c>
      <c r="B12" s="56" t="s">
        <v>59</v>
      </c>
      <c r="C12" s="67">
        <v>3840</v>
      </c>
      <c r="D12" s="67">
        <v>1440</v>
      </c>
    </row>
    <row r="13" spans="1:4" ht="15.75">
      <c r="A13" s="55">
        <v>8</v>
      </c>
      <c r="B13" s="56" t="s">
        <v>12</v>
      </c>
      <c r="C13" s="67">
        <v>16320</v>
      </c>
      <c r="D13" s="67">
        <v>4440</v>
      </c>
    </row>
    <row r="14" spans="1:4" ht="15.75">
      <c r="A14" s="55">
        <v>9</v>
      </c>
      <c r="B14" s="56" t="s">
        <v>13</v>
      </c>
      <c r="C14" s="67">
        <v>5640</v>
      </c>
      <c r="D14" s="67"/>
    </row>
    <row r="15" spans="1:4" ht="15.75">
      <c r="A15" s="55">
        <v>10</v>
      </c>
      <c r="B15" s="56" t="s">
        <v>14</v>
      </c>
      <c r="C15" s="67">
        <v>5280</v>
      </c>
      <c r="D15" s="67">
        <v>480</v>
      </c>
    </row>
    <row r="16" spans="1:4" ht="15.75">
      <c r="A16" s="55">
        <v>11</v>
      </c>
      <c r="B16" s="56" t="s">
        <v>15</v>
      </c>
      <c r="C16" s="67">
        <v>4056</v>
      </c>
      <c r="D16" s="67">
        <v>480</v>
      </c>
    </row>
    <row r="17" spans="1:4" ht="15.75">
      <c r="A17" s="55">
        <v>12</v>
      </c>
      <c r="B17" s="56" t="s">
        <v>16</v>
      </c>
      <c r="C17" s="67">
        <v>1320</v>
      </c>
      <c r="D17" s="67"/>
    </row>
    <row r="18" spans="1:4" ht="15.75">
      <c r="A18" s="55">
        <v>13</v>
      </c>
      <c r="B18" s="56" t="s">
        <v>17</v>
      </c>
      <c r="C18" s="67">
        <v>5760</v>
      </c>
      <c r="D18" s="67"/>
    </row>
    <row r="19" spans="1:4" ht="15.75">
      <c r="A19" s="55">
        <v>14</v>
      </c>
      <c r="B19" s="56" t="s">
        <v>18</v>
      </c>
      <c r="C19" s="67"/>
      <c r="D19" s="67"/>
    </row>
    <row r="20" spans="1:4" ht="15.75">
      <c r="A20" s="55">
        <v>15</v>
      </c>
      <c r="B20" s="56" t="s">
        <v>19</v>
      </c>
      <c r="C20" s="67"/>
      <c r="D20" s="67"/>
    </row>
    <row r="21" spans="1:4" ht="15.75">
      <c r="A21" s="55">
        <v>16</v>
      </c>
      <c r="B21" s="56" t="s">
        <v>20</v>
      </c>
      <c r="C21" s="67"/>
      <c r="D21" s="67"/>
    </row>
    <row r="22" spans="1:4" ht="15.75">
      <c r="A22" s="55">
        <v>17</v>
      </c>
      <c r="B22" s="56" t="s">
        <v>21</v>
      </c>
      <c r="C22" s="67">
        <v>4080</v>
      </c>
      <c r="D22" s="67">
        <v>480</v>
      </c>
    </row>
    <row r="23" spans="1:4" ht="15.75">
      <c r="A23" s="55">
        <v>18</v>
      </c>
      <c r="B23" s="56" t="s">
        <v>22</v>
      </c>
      <c r="C23" s="67">
        <v>5400</v>
      </c>
      <c r="D23" s="67">
        <v>480</v>
      </c>
    </row>
    <row r="24" spans="1:4" ht="15.75">
      <c r="A24" s="55">
        <v>19</v>
      </c>
      <c r="B24" s="56" t="s">
        <v>23</v>
      </c>
      <c r="C24" s="67">
        <v>360</v>
      </c>
      <c r="D24" s="67"/>
    </row>
    <row r="25" spans="1:4" ht="15.75">
      <c r="A25" s="55">
        <v>20</v>
      </c>
      <c r="B25" s="56" t="s">
        <v>24</v>
      </c>
      <c r="C25" s="67">
        <v>360</v>
      </c>
      <c r="D25" s="67"/>
    </row>
    <row r="26" spans="1:4" ht="15.75">
      <c r="A26" s="55">
        <v>21</v>
      </c>
      <c r="B26" s="56" t="s">
        <v>25</v>
      </c>
      <c r="C26" s="67">
        <v>3720</v>
      </c>
      <c r="D26" s="67"/>
    </row>
    <row r="27" spans="1:4" ht="15.75">
      <c r="A27" s="55">
        <v>22</v>
      </c>
      <c r="B27" s="56" t="s">
        <v>26</v>
      </c>
      <c r="C27" s="67">
        <v>3120</v>
      </c>
      <c r="D27" s="67"/>
    </row>
    <row r="28" spans="1:4" ht="15.75">
      <c r="A28" s="55">
        <v>23</v>
      </c>
      <c r="B28" s="56" t="s">
        <v>27</v>
      </c>
      <c r="C28" s="67">
        <v>1080</v>
      </c>
      <c r="D28" s="67"/>
    </row>
    <row r="29" spans="1:4" ht="15.75">
      <c r="A29" s="55">
        <v>24</v>
      </c>
      <c r="B29" s="56" t="s">
        <v>28</v>
      </c>
      <c r="C29" s="67"/>
      <c r="D29" s="67"/>
    </row>
    <row r="30" spans="1:4" ht="15.75">
      <c r="A30" s="55">
        <v>25</v>
      </c>
      <c r="B30" s="56" t="s">
        <v>29</v>
      </c>
      <c r="C30" s="67">
        <v>5160</v>
      </c>
      <c r="D30" s="67"/>
    </row>
    <row r="31" spans="1:4" ht="15.75">
      <c r="A31" s="55">
        <v>26</v>
      </c>
      <c r="B31" s="56" t="s">
        <v>30</v>
      </c>
      <c r="C31" s="67"/>
      <c r="D31" s="67"/>
    </row>
    <row r="32" spans="1:4" ht="15.75">
      <c r="A32" s="55">
        <v>27</v>
      </c>
      <c r="B32" s="56" t="s">
        <v>40</v>
      </c>
      <c r="C32" s="67"/>
      <c r="D32" s="67"/>
    </row>
    <row r="33" spans="1:4" ht="15.75">
      <c r="A33" s="55">
        <v>28</v>
      </c>
      <c r="B33" s="56" t="s">
        <v>41</v>
      </c>
      <c r="C33" s="67">
        <v>1920</v>
      </c>
      <c r="D33" s="67"/>
    </row>
    <row r="34" spans="1:4" ht="15.75">
      <c r="A34" s="55">
        <v>29</v>
      </c>
      <c r="B34" s="56" t="s">
        <v>42</v>
      </c>
      <c r="C34" s="67">
        <v>3228</v>
      </c>
      <c r="D34" s="67"/>
    </row>
    <row r="35" spans="1:4" ht="15.75">
      <c r="A35" s="55">
        <v>30</v>
      </c>
      <c r="B35" s="56" t="s">
        <v>44</v>
      </c>
      <c r="C35" s="67">
        <v>120</v>
      </c>
      <c r="D35" s="67"/>
    </row>
    <row r="36" spans="1:4" ht="15.75">
      <c r="A36" s="55">
        <v>31</v>
      </c>
      <c r="B36" s="56" t="s">
        <v>45</v>
      </c>
      <c r="C36" s="67"/>
      <c r="D36" s="67"/>
    </row>
    <row r="37" spans="1:4" ht="15.75">
      <c r="A37" s="55">
        <v>32</v>
      </c>
      <c r="B37" s="56" t="s">
        <v>47</v>
      </c>
      <c r="C37" s="67"/>
      <c r="D37" s="67"/>
    </row>
    <row r="38" spans="1:4" ht="15.75">
      <c r="A38" s="55">
        <v>33</v>
      </c>
      <c r="B38" s="56" t="s">
        <v>60</v>
      </c>
      <c r="C38" s="67"/>
      <c r="D38" s="67"/>
    </row>
    <row r="39" spans="1:4" ht="15.75">
      <c r="A39" s="55">
        <v>34</v>
      </c>
      <c r="B39" s="56" t="s">
        <v>61</v>
      </c>
      <c r="C39" s="67">
        <v>120</v>
      </c>
      <c r="D39" s="67"/>
    </row>
    <row r="40" spans="1:4" ht="15.75">
      <c r="A40" s="57"/>
      <c r="B40" s="57" t="s">
        <v>31</v>
      </c>
      <c r="C40" s="68">
        <f>SUM(C6:C39)</f>
        <v>97704</v>
      </c>
      <c r="D40" s="68">
        <f>SUM(D6:D39)</f>
        <v>8760</v>
      </c>
    </row>
  </sheetData>
  <mergeCells count="2">
    <mergeCell ref="A4:E4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0"/>
  <sheetViews>
    <sheetView workbookViewId="0" topLeftCell="A1">
      <selection activeCell="C41" sqref="C41"/>
    </sheetView>
  </sheetViews>
  <sheetFormatPr defaultColWidth="9.140625" defaultRowHeight="12.75"/>
  <cols>
    <col min="2" max="2" width="36.8515625" style="0" bestFit="1" customWidth="1"/>
    <col min="3" max="3" width="16.8515625" style="0" customWidth="1"/>
  </cols>
  <sheetData>
    <row r="2" spans="1:5" ht="12.75">
      <c r="A2" s="60"/>
      <c r="B2" s="60"/>
      <c r="C2" s="60"/>
      <c r="D2" s="60"/>
      <c r="E2" s="60"/>
    </row>
    <row r="3" spans="1:5" ht="15">
      <c r="A3" s="61" t="s">
        <v>66</v>
      </c>
      <c r="B3" s="61"/>
      <c r="C3" s="61"/>
      <c r="D3" s="61"/>
      <c r="E3" s="61"/>
    </row>
    <row r="4" spans="1:5" ht="14.25">
      <c r="A4" s="36"/>
      <c r="B4" s="36"/>
      <c r="C4" s="36"/>
      <c r="D4" s="36"/>
      <c r="E4" s="36"/>
    </row>
    <row r="5" spans="1:5" ht="47.25">
      <c r="A5" s="50" t="s">
        <v>0</v>
      </c>
      <c r="B5" s="51" t="s">
        <v>1</v>
      </c>
      <c r="C5" s="51" t="s">
        <v>77</v>
      </c>
      <c r="D5" s="36"/>
      <c r="E5" s="36"/>
    </row>
    <row r="6" spans="1:3" ht="15.75">
      <c r="A6" s="55">
        <v>1</v>
      </c>
      <c r="B6" s="56" t="s">
        <v>6</v>
      </c>
      <c r="C6" s="67">
        <v>21672.18</v>
      </c>
    </row>
    <row r="7" spans="1:3" ht="15.75">
      <c r="A7" s="55">
        <v>2</v>
      </c>
      <c r="B7" s="56" t="s">
        <v>7</v>
      </c>
      <c r="C7" s="67"/>
    </row>
    <row r="8" spans="1:3" ht="15.75">
      <c r="A8" s="55">
        <v>3</v>
      </c>
      <c r="B8" s="56" t="s">
        <v>8</v>
      </c>
      <c r="C8" s="67"/>
    </row>
    <row r="9" spans="1:3" ht="15.75">
      <c r="A9" s="55">
        <v>4</v>
      </c>
      <c r="B9" s="56" t="s">
        <v>9</v>
      </c>
      <c r="C9" s="67"/>
    </row>
    <row r="10" spans="1:3" ht="15.75">
      <c r="A10" s="55">
        <v>5</v>
      </c>
      <c r="B10" s="56" t="s">
        <v>10</v>
      </c>
      <c r="C10" s="67"/>
    </row>
    <row r="11" spans="1:3" ht="15.75">
      <c r="A11" s="55">
        <v>6</v>
      </c>
      <c r="B11" s="56" t="s">
        <v>11</v>
      </c>
      <c r="C11" s="67"/>
    </row>
    <row r="12" spans="1:3" ht="15.75">
      <c r="A12" s="55">
        <v>7</v>
      </c>
      <c r="B12" s="56" t="s">
        <v>59</v>
      </c>
      <c r="C12" s="67">
        <v>65461.96</v>
      </c>
    </row>
    <row r="13" spans="1:3" ht="15.75">
      <c r="A13" s="55">
        <v>8</v>
      </c>
      <c r="B13" s="56" t="s">
        <v>12</v>
      </c>
      <c r="C13" s="67">
        <v>92978.45</v>
      </c>
    </row>
    <row r="14" spans="1:3" ht="15.75">
      <c r="A14" s="55">
        <v>9</v>
      </c>
      <c r="B14" s="56" t="s">
        <v>13</v>
      </c>
      <c r="C14" s="67">
        <v>26852.66</v>
      </c>
    </row>
    <row r="15" spans="1:3" ht="15.75">
      <c r="A15" s="55">
        <v>10</v>
      </c>
      <c r="B15" s="56" t="s">
        <v>14</v>
      </c>
      <c r="C15" s="67"/>
    </row>
    <row r="16" spans="1:3" ht="15.75">
      <c r="A16" s="55">
        <v>11</v>
      </c>
      <c r="B16" s="56" t="s">
        <v>15</v>
      </c>
      <c r="C16" s="67"/>
    </row>
    <row r="17" spans="1:3" ht="15.75">
      <c r="A17" s="55">
        <v>12</v>
      </c>
      <c r="B17" s="56" t="s">
        <v>16</v>
      </c>
      <c r="C17" s="67"/>
    </row>
    <row r="18" spans="1:3" ht="15.75">
      <c r="A18" s="55">
        <v>13</v>
      </c>
      <c r="B18" s="56" t="s">
        <v>17</v>
      </c>
      <c r="C18" s="67"/>
    </row>
    <row r="19" spans="1:3" ht="15.75">
      <c r="A19" s="55">
        <v>14</v>
      </c>
      <c r="B19" s="56" t="s">
        <v>18</v>
      </c>
      <c r="C19" s="67"/>
    </row>
    <row r="20" spans="1:3" ht="15.75">
      <c r="A20" s="55">
        <v>15</v>
      </c>
      <c r="B20" s="56" t="s">
        <v>19</v>
      </c>
      <c r="C20" s="67"/>
    </row>
    <row r="21" spans="1:3" ht="15.75">
      <c r="A21" s="55">
        <v>16</v>
      </c>
      <c r="B21" s="56" t="s">
        <v>20</v>
      </c>
      <c r="C21" s="67"/>
    </row>
    <row r="22" spans="1:3" ht="15.75">
      <c r="A22" s="55">
        <v>17</v>
      </c>
      <c r="B22" s="56" t="s">
        <v>21</v>
      </c>
      <c r="C22" s="67"/>
    </row>
    <row r="23" spans="1:3" ht="15.75">
      <c r="A23" s="55">
        <v>18</v>
      </c>
      <c r="B23" s="56" t="s">
        <v>22</v>
      </c>
      <c r="C23" s="67">
        <v>26852.66</v>
      </c>
    </row>
    <row r="24" spans="1:3" ht="15.75">
      <c r="A24" s="55">
        <v>19</v>
      </c>
      <c r="B24" s="56" t="s">
        <v>23</v>
      </c>
      <c r="C24" s="67"/>
    </row>
    <row r="25" spans="1:3" ht="15.75">
      <c r="A25" s="55">
        <v>20</v>
      </c>
      <c r="B25" s="56" t="s">
        <v>24</v>
      </c>
      <c r="C25" s="67"/>
    </row>
    <row r="26" spans="1:3" ht="15.75">
      <c r="A26" s="55">
        <v>21</v>
      </c>
      <c r="B26" s="56" t="s">
        <v>25</v>
      </c>
      <c r="C26" s="67"/>
    </row>
    <row r="27" spans="1:3" ht="15.75">
      <c r="A27" s="55">
        <v>22</v>
      </c>
      <c r="B27" s="56" t="s">
        <v>26</v>
      </c>
      <c r="C27" s="67">
        <v>28279.57</v>
      </c>
    </row>
    <row r="28" spans="1:3" ht="15.75">
      <c r="A28" s="55">
        <v>23</v>
      </c>
      <c r="B28" s="56" t="s">
        <v>27</v>
      </c>
      <c r="C28" s="67"/>
    </row>
    <row r="29" spans="1:3" ht="15.75">
      <c r="A29" s="55">
        <v>24</v>
      </c>
      <c r="B29" s="56" t="s">
        <v>28</v>
      </c>
      <c r="C29" s="67"/>
    </row>
    <row r="30" spans="1:3" ht="15.75">
      <c r="A30" s="55">
        <v>25</v>
      </c>
      <c r="B30" s="56" t="s">
        <v>29</v>
      </c>
      <c r="C30" s="67"/>
    </row>
    <row r="31" spans="1:3" ht="15.75">
      <c r="A31" s="55">
        <v>26</v>
      </c>
      <c r="B31" s="56" t="s">
        <v>30</v>
      </c>
      <c r="C31" s="67">
        <v>7426.63</v>
      </c>
    </row>
    <row r="32" spans="1:3" ht="15.75">
      <c r="A32" s="55">
        <v>27</v>
      </c>
      <c r="B32" s="56" t="s">
        <v>40</v>
      </c>
      <c r="C32" s="67"/>
    </row>
    <row r="33" spans="1:3" ht="15.75">
      <c r="A33" s="55">
        <v>28</v>
      </c>
      <c r="B33" s="56" t="s">
        <v>41</v>
      </c>
      <c r="C33" s="67">
        <v>13426.33</v>
      </c>
    </row>
    <row r="34" spans="1:3" ht="15.75">
      <c r="A34" s="55">
        <v>29</v>
      </c>
      <c r="B34" s="56" t="s">
        <v>42</v>
      </c>
      <c r="C34" s="67"/>
    </row>
    <row r="35" spans="1:3" ht="15.75">
      <c r="A35" s="55">
        <v>30</v>
      </c>
      <c r="B35" s="56" t="s">
        <v>44</v>
      </c>
      <c r="C35" s="67"/>
    </row>
    <row r="36" spans="1:3" ht="15.75">
      <c r="A36" s="55">
        <v>31</v>
      </c>
      <c r="B36" s="56" t="s">
        <v>45</v>
      </c>
      <c r="C36" s="67"/>
    </row>
    <row r="37" spans="1:3" ht="15.75">
      <c r="A37" s="55">
        <v>32</v>
      </c>
      <c r="B37" s="56" t="s">
        <v>47</v>
      </c>
      <c r="C37" s="67"/>
    </row>
    <row r="38" spans="1:3" ht="15.75">
      <c r="A38" s="55">
        <v>33</v>
      </c>
      <c r="B38" s="56" t="s">
        <v>60</v>
      </c>
      <c r="C38" s="67"/>
    </row>
    <row r="39" spans="1:3" ht="16.5" thickBot="1">
      <c r="A39" s="55">
        <v>34</v>
      </c>
      <c r="B39" s="71" t="s">
        <v>61</v>
      </c>
      <c r="C39" s="73"/>
    </row>
    <row r="40" spans="1:3" ht="16.5" thickBot="1">
      <c r="A40" s="70"/>
      <c r="B40" s="72" t="s">
        <v>31</v>
      </c>
      <c r="C40" s="74">
        <f>SUM(C6:C39)</f>
        <v>282950.44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40"/>
  <sheetViews>
    <sheetView workbookViewId="0" topLeftCell="A1">
      <selection activeCell="C27" sqref="C27"/>
    </sheetView>
  </sheetViews>
  <sheetFormatPr defaultColWidth="9.140625" defaultRowHeight="12.75"/>
  <cols>
    <col min="2" max="2" width="28.8515625" style="0" customWidth="1"/>
    <col min="3" max="3" width="16.28125" style="0" customWidth="1"/>
    <col min="5" max="5" width="29.00390625" style="0" customWidth="1"/>
  </cols>
  <sheetData>
    <row r="3" spans="1:5" ht="15">
      <c r="A3" s="82" t="s">
        <v>67</v>
      </c>
      <c r="B3" s="82"/>
      <c r="C3" s="82"/>
      <c r="D3" s="82"/>
      <c r="E3" s="82"/>
    </row>
    <row r="4" spans="1:5" ht="14.25">
      <c r="A4" s="36"/>
      <c r="B4" s="36"/>
      <c r="C4" s="38"/>
      <c r="D4" s="1"/>
      <c r="E4" s="1"/>
    </row>
    <row r="5" spans="1:5" ht="15.75">
      <c r="A5" s="50" t="s">
        <v>0</v>
      </c>
      <c r="B5" s="51" t="s">
        <v>1</v>
      </c>
      <c r="C5" s="51" t="s">
        <v>80</v>
      </c>
      <c r="D5" s="36"/>
      <c r="E5" s="36"/>
    </row>
    <row r="6" spans="1:5" ht="15.75">
      <c r="A6" s="55">
        <v>1</v>
      </c>
      <c r="B6" s="56" t="s">
        <v>6</v>
      </c>
      <c r="C6" s="6">
        <v>109539.95</v>
      </c>
      <c r="D6" s="36"/>
      <c r="E6" s="36"/>
    </row>
    <row r="7" spans="1:5" ht="15.75">
      <c r="A7" s="55">
        <v>2</v>
      </c>
      <c r="B7" s="56" t="s">
        <v>7</v>
      </c>
      <c r="C7" s="6"/>
      <c r="D7" s="36"/>
      <c r="E7" s="36"/>
    </row>
    <row r="8" spans="1:3" ht="15.75">
      <c r="A8" s="55">
        <v>3</v>
      </c>
      <c r="B8" s="56" t="s">
        <v>8</v>
      </c>
      <c r="C8" s="67"/>
    </row>
    <row r="9" spans="1:3" ht="15.75">
      <c r="A9" s="55">
        <v>4</v>
      </c>
      <c r="B9" s="56" t="s">
        <v>9</v>
      </c>
      <c r="C9" s="67"/>
    </row>
    <row r="10" spans="1:3" ht="15.75">
      <c r="A10" s="55">
        <v>5</v>
      </c>
      <c r="B10" s="56" t="s">
        <v>10</v>
      </c>
      <c r="C10" s="67">
        <v>8311.16</v>
      </c>
    </row>
    <row r="11" spans="1:3" ht="15.75">
      <c r="A11" s="55">
        <v>6</v>
      </c>
      <c r="B11" s="56" t="s">
        <v>11</v>
      </c>
      <c r="C11" s="67">
        <v>691.59</v>
      </c>
    </row>
    <row r="12" spans="1:3" ht="15.75">
      <c r="A12" s="55">
        <v>7</v>
      </c>
      <c r="B12" s="56" t="s">
        <v>59</v>
      </c>
      <c r="C12" s="67">
        <v>509.67</v>
      </c>
    </row>
    <row r="13" spans="1:3" ht="15.75">
      <c r="A13" s="55">
        <v>8</v>
      </c>
      <c r="B13" s="56" t="s">
        <v>12</v>
      </c>
      <c r="C13" s="67">
        <v>107027.5</v>
      </c>
    </row>
    <row r="14" spans="1:3" ht="15.75">
      <c r="A14" s="55">
        <v>9</v>
      </c>
      <c r="B14" s="56" t="s">
        <v>13</v>
      </c>
      <c r="C14" s="67"/>
    </row>
    <row r="15" spans="1:3" ht="15.75">
      <c r="A15" s="55">
        <v>10</v>
      </c>
      <c r="B15" s="56" t="s">
        <v>14</v>
      </c>
      <c r="C15" s="67">
        <v>15901.85</v>
      </c>
    </row>
    <row r="16" spans="1:3" ht="15.75">
      <c r="A16" s="55">
        <v>11</v>
      </c>
      <c r="B16" s="56" t="s">
        <v>15</v>
      </c>
      <c r="C16" s="67">
        <v>712.04</v>
      </c>
    </row>
    <row r="17" spans="1:3" ht="15.75">
      <c r="A17" s="55">
        <v>12</v>
      </c>
      <c r="B17" s="56" t="s">
        <v>16</v>
      </c>
      <c r="C17" s="67"/>
    </row>
    <row r="18" spans="1:3" ht="15.75">
      <c r="A18" s="55">
        <v>13</v>
      </c>
      <c r="B18" s="56" t="s">
        <v>17</v>
      </c>
      <c r="C18" s="67">
        <v>130.71</v>
      </c>
    </row>
    <row r="19" spans="1:3" ht="15.75">
      <c r="A19" s="55">
        <v>14</v>
      </c>
      <c r="B19" s="56" t="s">
        <v>18</v>
      </c>
      <c r="C19" s="67"/>
    </row>
    <row r="20" spans="1:3" ht="15.75">
      <c r="A20" s="55">
        <v>15</v>
      </c>
      <c r="B20" s="56" t="s">
        <v>19</v>
      </c>
      <c r="C20" s="67"/>
    </row>
    <row r="21" spans="1:3" ht="15.75">
      <c r="A21" s="55">
        <v>16</v>
      </c>
      <c r="B21" s="56" t="s">
        <v>20</v>
      </c>
      <c r="C21" s="67"/>
    </row>
    <row r="22" spans="1:3" ht="15.75">
      <c r="A22" s="55">
        <v>17</v>
      </c>
      <c r="B22" s="56" t="s">
        <v>21</v>
      </c>
      <c r="C22" s="67">
        <v>312.12</v>
      </c>
    </row>
    <row r="23" spans="1:3" ht="15.75">
      <c r="A23" s="55">
        <v>18</v>
      </c>
      <c r="B23" s="56" t="s">
        <v>22</v>
      </c>
      <c r="C23" s="67">
        <v>1271.84</v>
      </c>
    </row>
    <row r="24" spans="1:3" ht="15.75">
      <c r="A24" s="55">
        <v>19</v>
      </c>
      <c r="B24" s="56" t="s">
        <v>23</v>
      </c>
      <c r="C24" s="67"/>
    </row>
    <row r="25" spans="1:3" ht="15.75">
      <c r="A25" s="55">
        <v>20</v>
      </c>
      <c r="B25" s="56" t="s">
        <v>24</v>
      </c>
      <c r="C25" s="67"/>
    </row>
    <row r="26" spans="1:3" ht="15.75">
      <c r="A26" s="55">
        <v>21</v>
      </c>
      <c r="B26" s="56" t="s">
        <v>25</v>
      </c>
      <c r="C26" s="67">
        <v>287128.7</v>
      </c>
    </row>
    <row r="27" spans="1:3" ht="15.75">
      <c r="A27" s="55">
        <v>22</v>
      </c>
      <c r="B27" s="56" t="s">
        <v>26</v>
      </c>
      <c r="C27" s="67">
        <v>87.13</v>
      </c>
    </row>
    <row r="28" spans="1:3" ht="15.75">
      <c r="A28" s="55">
        <v>23</v>
      </c>
      <c r="B28" s="56" t="s">
        <v>27</v>
      </c>
      <c r="C28" s="67">
        <v>51.75</v>
      </c>
    </row>
    <row r="29" spans="1:3" ht="15.75">
      <c r="A29" s="55">
        <v>24</v>
      </c>
      <c r="B29" s="56" t="s">
        <v>28</v>
      </c>
      <c r="C29" s="67"/>
    </row>
    <row r="30" spans="1:3" ht="15.75">
      <c r="A30" s="55">
        <v>25</v>
      </c>
      <c r="B30" s="56" t="s">
        <v>29</v>
      </c>
      <c r="C30" s="67">
        <v>15902.4</v>
      </c>
    </row>
    <row r="31" spans="1:3" ht="15.75">
      <c r="A31" s="55">
        <v>26</v>
      </c>
      <c r="B31" s="56" t="s">
        <v>30</v>
      </c>
      <c r="C31" s="67">
        <v>14324.24</v>
      </c>
    </row>
    <row r="32" spans="1:3" ht="15.75">
      <c r="A32" s="55">
        <v>27</v>
      </c>
      <c r="B32" s="56" t="s">
        <v>40</v>
      </c>
      <c r="C32" s="67"/>
    </row>
    <row r="33" spans="1:3" ht="15.75">
      <c r="A33" s="55">
        <v>28</v>
      </c>
      <c r="B33" s="56" t="s">
        <v>41</v>
      </c>
      <c r="C33" s="67"/>
    </row>
    <row r="34" spans="1:3" ht="15.75">
      <c r="A34" s="55">
        <v>29</v>
      </c>
      <c r="B34" s="56" t="s">
        <v>42</v>
      </c>
      <c r="C34" s="67"/>
    </row>
    <row r="35" spans="1:3" ht="15.75">
      <c r="A35" s="55">
        <v>30</v>
      </c>
      <c r="B35" s="56" t="s">
        <v>44</v>
      </c>
      <c r="C35" s="67"/>
    </row>
    <row r="36" spans="1:3" ht="15.75">
      <c r="A36" s="55">
        <v>31</v>
      </c>
      <c r="B36" s="56" t="s">
        <v>45</v>
      </c>
      <c r="C36" s="67"/>
    </row>
    <row r="37" spans="1:3" ht="15.75">
      <c r="A37" s="55">
        <v>32</v>
      </c>
      <c r="B37" s="56" t="s">
        <v>47</v>
      </c>
      <c r="C37" s="67"/>
    </row>
    <row r="38" spans="1:3" ht="15.75">
      <c r="A38" s="55">
        <v>33</v>
      </c>
      <c r="B38" s="56" t="s">
        <v>60</v>
      </c>
      <c r="C38" s="67"/>
    </row>
    <row r="39" spans="1:3" ht="15.75">
      <c r="A39" s="55">
        <v>34</v>
      </c>
      <c r="B39" s="56" t="s">
        <v>61</v>
      </c>
      <c r="C39" s="67"/>
    </row>
    <row r="40" spans="1:3" ht="15.75">
      <c r="A40" s="57"/>
      <c r="B40" s="57" t="s">
        <v>31</v>
      </c>
      <c r="C40" s="68">
        <f>SUM(C6:C39)</f>
        <v>561902.65</v>
      </c>
    </row>
  </sheetData>
  <mergeCells count="1">
    <mergeCell ref="A3:E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40"/>
  <sheetViews>
    <sheetView workbookViewId="0" topLeftCell="A1">
      <selection activeCell="C41" sqref="C41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78" t="s">
        <v>68</v>
      </c>
      <c r="B3" s="78"/>
      <c r="C3" s="78"/>
      <c r="D3" s="78"/>
      <c r="E3" s="78"/>
      <c r="F3" s="78"/>
      <c r="G3" s="78"/>
    </row>
    <row r="4" spans="1:7" ht="14.25">
      <c r="A4" s="80"/>
      <c r="B4" s="80"/>
      <c r="C4" s="80"/>
      <c r="D4" s="36"/>
      <c r="E4" s="36"/>
      <c r="F4" s="36"/>
      <c r="G4" s="36"/>
    </row>
    <row r="5" spans="1:7" ht="15.75">
      <c r="A5" s="50" t="s">
        <v>0</v>
      </c>
      <c r="B5" s="51" t="s">
        <v>1</v>
      </c>
      <c r="C5" s="50" t="s">
        <v>73</v>
      </c>
      <c r="D5" s="36"/>
      <c r="E5" s="36"/>
      <c r="F5" s="36"/>
      <c r="G5" s="36"/>
    </row>
    <row r="6" spans="1:7" ht="15.75">
      <c r="A6" s="55">
        <v>1</v>
      </c>
      <c r="B6" s="56" t="s">
        <v>6</v>
      </c>
      <c r="C6" s="6"/>
      <c r="D6" s="36"/>
      <c r="E6" s="36"/>
      <c r="F6" s="36"/>
      <c r="G6" s="36"/>
    </row>
    <row r="7" spans="1:7" ht="15.75">
      <c r="A7" s="55">
        <v>2</v>
      </c>
      <c r="B7" s="56" t="s">
        <v>7</v>
      </c>
      <c r="C7" s="6"/>
      <c r="D7" s="36"/>
      <c r="E7" s="36"/>
      <c r="F7" s="36"/>
      <c r="G7" s="36"/>
    </row>
    <row r="8" spans="1:3" ht="15.75">
      <c r="A8" s="55">
        <v>3</v>
      </c>
      <c r="B8" s="56" t="s">
        <v>8</v>
      </c>
      <c r="C8" s="67"/>
    </row>
    <row r="9" spans="1:3" ht="15.75">
      <c r="A9" s="55">
        <v>4</v>
      </c>
      <c r="B9" s="56" t="s">
        <v>9</v>
      </c>
      <c r="C9" s="67"/>
    </row>
    <row r="10" spans="1:3" ht="15.75">
      <c r="A10" s="55">
        <v>5</v>
      </c>
      <c r="B10" s="56" t="s">
        <v>10</v>
      </c>
      <c r="C10" s="67"/>
    </row>
    <row r="11" spans="1:3" ht="15.75">
      <c r="A11" s="55">
        <v>6</v>
      </c>
      <c r="B11" s="56" t="s">
        <v>11</v>
      </c>
      <c r="C11" s="67"/>
    </row>
    <row r="12" spans="1:3" ht="15.75">
      <c r="A12" s="55">
        <v>7</v>
      </c>
      <c r="B12" s="56" t="s">
        <v>59</v>
      </c>
      <c r="C12" s="67"/>
    </row>
    <row r="13" spans="1:3" ht="15.75">
      <c r="A13" s="55">
        <v>8</v>
      </c>
      <c r="B13" s="56" t="s">
        <v>12</v>
      </c>
      <c r="C13" s="67">
        <v>33615.45</v>
      </c>
    </row>
    <row r="14" spans="1:3" ht="15.75">
      <c r="A14" s="55">
        <v>9</v>
      </c>
      <c r="B14" s="56" t="s">
        <v>13</v>
      </c>
      <c r="C14" s="67"/>
    </row>
    <row r="15" spans="1:3" ht="15.75">
      <c r="A15" s="55">
        <v>10</v>
      </c>
      <c r="B15" s="56" t="s">
        <v>14</v>
      </c>
      <c r="C15" s="67"/>
    </row>
    <row r="16" spans="1:3" ht="15.75">
      <c r="A16" s="55">
        <v>11</v>
      </c>
      <c r="B16" s="56" t="s">
        <v>15</v>
      </c>
      <c r="C16" s="67"/>
    </row>
    <row r="17" spans="1:3" ht="15.75">
      <c r="A17" s="55">
        <v>12</v>
      </c>
      <c r="B17" s="56" t="s">
        <v>16</v>
      </c>
      <c r="C17" s="67"/>
    </row>
    <row r="18" spans="1:3" ht="15.75">
      <c r="A18" s="55">
        <v>13</v>
      </c>
      <c r="B18" s="56" t="s">
        <v>17</v>
      </c>
      <c r="C18" s="67"/>
    </row>
    <row r="19" spans="1:3" ht="15.75">
      <c r="A19" s="55">
        <v>14</v>
      </c>
      <c r="B19" s="56" t="s">
        <v>18</v>
      </c>
      <c r="C19" s="67"/>
    </row>
    <row r="20" spans="1:3" ht="15.75">
      <c r="A20" s="55">
        <v>15</v>
      </c>
      <c r="B20" s="56" t="s">
        <v>19</v>
      </c>
      <c r="C20" s="67"/>
    </row>
    <row r="21" spans="1:3" ht="15.75">
      <c r="A21" s="55">
        <v>16</v>
      </c>
      <c r="B21" s="56" t="s">
        <v>20</v>
      </c>
      <c r="C21" s="67"/>
    </row>
    <row r="22" spans="1:3" ht="15.75">
      <c r="A22" s="55">
        <v>17</v>
      </c>
      <c r="B22" s="56" t="s">
        <v>21</v>
      </c>
      <c r="C22" s="67"/>
    </row>
    <row r="23" spans="1:3" ht="15.75">
      <c r="A23" s="55">
        <v>18</v>
      </c>
      <c r="B23" s="56" t="s">
        <v>22</v>
      </c>
      <c r="C23" s="67"/>
    </row>
    <row r="24" spans="1:3" ht="15.75">
      <c r="A24" s="55">
        <v>19</v>
      </c>
      <c r="B24" s="56" t="s">
        <v>23</v>
      </c>
      <c r="C24" s="67"/>
    </row>
    <row r="25" spans="1:3" ht="15.75">
      <c r="A25" s="55">
        <v>20</v>
      </c>
      <c r="B25" s="56" t="s">
        <v>24</v>
      </c>
      <c r="C25" s="67"/>
    </row>
    <row r="26" spans="1:3" ht="15.75">
      <c r="A26" s="55">
        <v>21</v>
      </c>
      <c r="B26" s="56" t="s">
        <v>25</v>
      </c>
      <c r="C26" s="67"/>
    </row>
    <row r="27" spans="1:3" ht="15.75">
      <c r="A27" s="55">
        <v>22</v>
      </c>
      <c r="B27" s="56" t="s">
        <v>26</v>
      </c>
      <c r="C27" s="67"/>
    </row>
    <row r="28" spans="1:3" ht="15.75">
      <c r="A28" s="55">
        <v>23</v>
      </c>
      <c r="B28" s="56" t="s">
        <v>27</v>
      </c>
      <c r="C28" s="67"/>
    </row>
    <row r="29" spans="1:3" ht="15.75">
      <c r="A29" s="55">
        <v>24</v>
      </c>
      <c r="B29" s="56" t="s">
        <v>28</v>
      </c>
      <c r="C29" s="67"/>
    </row>
    <row r="30" spans="1:3" ht="15.75">
      <c r="A30" s="55">
        <v>25</v>
      </c>
      <c r="B30" s="56" t="s">
        <v>29</v>
      </c>
      <c r="C30" s="67">
        <v>2465.83</v>
      </c>
    </row>
    <row r="31" spans="1:3" ht="15.75">
      <c r="A31" s="55">
        <v>26</v>
      </c>
      <c r="B31" s="56" t="s">
        <v>30</v>
      </c>
      <c r="C31" s="67"/>
    </row>
    <row r="32" spans="1:3" ht="15.75">
      <c r="A32" s="55">
        <v>27</v>
      </c>
      <c r="B32" s="56" t="s">
        <v>40</v>
      </c>
      <c r="C32" s="67"/>
    </row>
    <row r="33" spans="1:3" ht="15.75">
      <c r="A33" s="55">
        <v>28</v>
      </c>
      <c r="B33" s="56" t="s">
        <v>41</v>
      </c>
      <c r="C33" s="67"/>
    </row>
    <row r="34" spans="1:3" ht="15.75">
      <c r="A34" s="55">
        <v>29</v>
      </c>
      <c r="B34" s="56" t="s">
        <v>42</v>
      </c>
      <c r="C34" s="67"/>
    </row>
    <row r="35" spans="1:3" ht="15.75">
      <c r="A35" s="55">
        <v>30</v>
      </c>
      <c r="B35" s="56" t="s">
        <v>44</v>
      </c>
      <c r="C35" s="67"/>
    </row>
    <row r="36" spans="1:3" ht="15.75">
      <c r="A36" s="55">
        <v>31</v>
      </c>
      <c r="B36" s="56" t="s">
        <v>45</v>
      </c>
      <c r="C36" s="67"/>
    </row>
    <row r="37" spans="1:3" ht="15.75">
      <c r="A37" s="55">
        <v>32</v>
      </c>
      <c r="B37" s="56" t="s">
        <v>47</v>
      </c>
      <c r="C37" s="67"/>
    </row>
    <row r="38" spans="1:3" ht="15.75">
      <c r="A38" s="55">
        <v>33</v>
      </c>
      <c r="B38" s="56" t="s">
        <v>60</v>
      </c>
      <c r="C38" s="67"/>
    </row>
    <row r="39" spans="1:3" ht="15.75">
      <c r="A39" s="55">
        <v>34</v>
      </c>
      <c r="B39" s="56" t="s">
        <v>61</v>
      </c>
      <c r="C39" s="67"/>
    </row>
    <row r="40" spans="1:3" ht="15.75">
      <c r="A40" s="57"/>
      <c r="B40" s="57" t="s">
        <v>31</v>
      </c>
      <c r="C40" s="67">
        <f>SUM(C6:C39)</f>
        <v>36081.28</v>
      </c>
    </row>
  </sheetData>
  <mergeCells count="2">
    <mergeCell ref="A3:G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2019-12-17T07:15:25Z</cp:lastPrinted>
  <dcterms:created xsi:type="dcterms:W3CDTF">2011-06-30T06:54:46Z</dcterms:created>
  <dcterms:modified xsi:type="dcterms:W3CDTF">2021-02-22T07:33:16Z</dcterms:modified>
  <cp:category/>
  <cp:version/>
  <cp:contentType/>
  <cp:contentStatus/>
</cp:coreProperties>
</file>